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faededd9b22388/Desktop/"/>
    </mc:Choice>
  </mc:AlternateContent>
  <xr:revisionPtr revIDLastSave="0" documentId="13_ncr:1_{F571D136-D590-4A12-A145-F417254C469D}" xr6:coauthVersionLast="47" xr6:coauthVersionMax="47" xr10:uidLastSave="{00000000-0000-0000-0000-000000000000}"/>
  <bookViews>
    <workbookView xWindow="-110" yWindow="-110" windowWidth="19420" windowHeight="10300" xr2:uid="{B875E623-C430-4295-8DE0-7403CB992B64}"/>
  </bookViews>
  <sheets>
    <sheet name="After tax incremental cashflows" sheetId="1" r:id="rId1"/>
    <sheet name="NPV &amp; IRR" sheetId="2" r:id="rId2"/>
    <sheet name="Longer life of poo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2" i="1" l="1"/>
  <c r="C171" i="1"/>
  <c r="C172" i="1"/>
  <c r="C173" i="1"/>
  <c r="C174" i="1"/>
  <c r="C175" i="1"/>
  <c r="C176" i="1"/>
  <c r="C177" i="1"/>
  <c r="C178" i="1"/>
  <c r="C179" i="1"/>
  <c r="D59" i="1"/>
  <c r="C488" i="3"/>
  <c r="E504" i="3" s="1"/>
  <c r="F504" i="3" s="1"/>
  <c r="E471" i="3"/>
  <c r="F471" i="3" s="1"/>
  <c r="E476" i="3"/>
  <c r="F476" i="3" s="1"/>
  <c r="E462" i="3"/>
  <c r="F462" i="3" s="1"/>
  <c r="E449" i="3"/>
  <c r="E466" i="3" s="1"/>
  <c r="F466" i="3" s="1"/>
  <c r="F442" i="3"/>
  <c r="K439" i="3"/>
  <c r="F359" i="3"/>
  <c r="F360" i="3" s="1"/>
  <c r="F361" i="3" s="1"/>
  <c r="F362" i="3" s="1"/>
  <c r="C331" i="3"/>
  <c r="C332" i="3" s="1"/>
  <c r="C333" i="3" s="1"/>
  <c r="C334" i="3" s="1"/>
  <c r="C335" i="3" s="1"/>
  <c r="C336" i="3" s="1"/>
  <c r="C337" i="3" s="1"/>
  <c r="C338" i="3" s="1"/>
  <c r="C339" i="3" s="1"/>
  <c r="C340" i="3" s="1"/>
  <c r="C341" i="3" s="1"/>
  <c r="C342" i="3" s="1"/>
  <c r="C343" i="3" s="1"/>
  <c r="C344" i="3" s="1"/>
  <c r="C345" i="3" s="1"/>
  <c r="C346" i="3" s="1"/>
  <c r="C347" i="3" s="1"/>
  <c r="C348" i="3" s="1"/>
  <c r="C349" i="3" s="1"/>
  <c r="C350" i="3" s="1"/>
  <c r="C351" i="3" s="1"/>
  <c r="C352" i="3" s="1"/>
  <c r="C353" i="3" s="1"/>
  <c r="C354" i="3" s="1"/>
  <c r="C355" i="3" s="1"/>
  <c r="D261" i="3"/>
  <c r="C261" i="3" s="1"/>
  <c r="E224" i="3"/>
  <c r="G223" i="3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C223" i="3"/>
  <c r="C224" i="3" s="1"/>
  <c r="C225" i="3" s="1"/>
  <c r="E225" i="3" s="1"/>
  <c r="C187" i="3"/>
  <c r="C188" i="3" s="1"/>
  <c r="C189" i="3" s="1"/>
  <c r="C190" i="3" s="1"/>
  <c r="C191" i="3" s="1"/>
  <c r="C192" i="3" s="1"/>
  <c r="C193" i="3" s="1"/>
  <c r="C194" i="3" s="1"/>
  <c r="C195" i="3" s="1"/>
  <c r="C196" i="3" s="1"/>
  <c r="C197" i="3" s="1"/>
  <c r="C179" i="3"/>
  <c r="I176" i="3"/>
  <c r="I177" i="3" s="1"/>
  <c r="I178" i="3" s="1"/>
  <c r="I179" i="3" s="1"/>
  <c r="I180" i="3" s="1"/>
  <c r="I181" i="3" s="1"/>
  <c r="I182" i="3" s="1"/>
  <c r="I183" i="3" s="1"/>
  <c r="I184" i="3" s="1"/>
  <c r="I185" i="3" s="1"/>
  <c r="I186" i="3" s="1"/>
  <c r="I187" i="3" s="1"/>
  <c r="I188" i="3" s="1"/>
  <c r="I189" i="3" s="1"/>
  <c r="I190" i="3" s="1"/>
  <c r="I191" i="3" s="1"/>
  <c r="I192" i="3" s="1"/>
  <c r="I193" i="3" s="1"/>
  <c r="I194" i="3" s="1"/>
  <c r="I195" i="3" s="1"/>
  <c r="I196" i="3" s="1"/>
  <c r="I197" i="3" s="1"/>
  <c r="I198" i="3" s="1"/>
  <c r="I199" i="3" s="1"/>
  <c r="H175" i="3"/>
  <c r="H176" i="3" s="1"/>
  <c r="J174" i="3"/>
  <c r="C139" i="3"/>
  <c r="D168" i="3" s="1"/>
  <c r="E143" i="3"/>
  <c r="O65" i="3"/>
  <c r="I64" i="3"/>
  <c r="I65" i="3" s="1"/>
  <c r="C64" i="3"/>
  <c r="C65" i="3" s="1"/>
  <c r="Q63" i="3"/>
  <c r="R63" i="3" s="1"/>
  <c r="P63" i="3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K63" i="3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J63" i="3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E63" i="3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D63" i="3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K22" i="3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H21" i="3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G21" i="3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D21" i="3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C21" i="3"/>
  <c r="C22" i="3" s="1"/>
  <c r="C23" i="3" s="1"/>
  <c r="C24" i="3" s="1"/>
  <c r="C25" i="3" s="1"/>
  <c r="C26" i="3" s="1"/>
  <c r="C27" i="3" s="1"/>
  <c r="C28" i="3" s="1"/>
  <c r="C29" i="3" s="1"/>
  <c r="C30" i="3" s="1"/>
  <c r="K22" i="2"/>
  <c r="K21" i="2"/>
  <c r="K20" i="2"/>
  <c r="E71" i="2"/>
  <c r="G76" i="2" s="1"/>
  <c r="H76" i="2" s="1"/>
  <c r="Q31" i="2"/>
  <c r="Q36" i="2" s="1"/>
  <c r="R36" i="2" s="1"/>
  <c r="K39" i="2"/>
  <c r="L39" i="2" s="1"/>
  <c r="K40" i="2"/>
  <c r="K43" i="2"/>
  <c r="L43" i="2" s="1"/>
  <c r="K44" i="2"/>
  <c r="L44" i="2" s="1"/>
  <c r="L40" i="2"/>
  <c r="K35" i="2"/>
  <c r="L35" i="2" s="1"/>
  <c r="C226" i="1"/>
  <c r="K31" i="2"/>
  <c r="K37" i="2" s="1"/>
  <c r="L37" i="2" s="1"/>
  <c r="E37" i="2"/>
  <c r="F37" i="2" s="1"/>
  <c r="E38" i="2"/>
  <c r="F38" i="2" s="1"/>
  <c r="E41" i="2"/>
  <c r="F41" i="2" s="1"/>
  <c r="E42" i="2"/>
  <c r="F42" i="2" s="1"/>
  <c r="E45" i="2"/>
  <c r="F45" i="2" s="1"/>
  <c r="E35" i="2"/>
  <c r="F35" i="2" s="1"/>
  <c r="F24" i="2"/>
  <c r="E31" i="2"/>
  <c r="E39" i="2" s="1"/>
  <c r="F39" i="2" s="1"/>
  <c r="H13" i="2"/>
  <c r="H15" i="2" s="1"/>
  <c r="F254" i="1"/>
  <c r="G254" i="1" s="1"/>
  <c r="E245" i="1"/>
  <c r="E246" i="1"/>
  <c r="E247" i="1"/>
  <c r="E248" i="1"/>
  <c r="E249" i="1"/>
  <c r="E250" i="1"/>
  <c r="E251" i="1"/>
  <c r="F251" i="1" s="1"/>
  <c r="E252" i="1"/>
  <c r="E253" i="1"/>
  <c r="E254" i="1"/>
  <c r="E244" i="1"/>
  <c r="F244" i="1" s="1"/>
  <c r="G244" i="1" s="1"/>
  <c r="E96" i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C211" i="1"/>
  <c r="C212" i="1" s="1"/>
  <c r="C213" i="1" s="1"/>
  <c r="C214" i="1" s="1"/>
  <c r="C215" i="1" s="1"/>
  <c r="C216" i="1" s="1"/>
  <c r="C217" i="1" s="1"/>
  <c r="C218" i="1" s="1"/>
  <c r="C219" i="1" s="1"/>
  <c r="C220" i="1" s="1"/>
  <c r="D170" i="1"/>
  <c r="D171" i="1" s="1"/>
  <c r="D172" i="1" s="1"/>
  <c r="D173" i="1" s="1"/>
  <c r="D174" i="1" s="1"/>
  <c r="D175" i="1" s="1"/>
  <c r="D176" i="1" s="1"/>
  <c r="D177" i="1" s="1"/>
  <c r="D178" i="1" s="1"/>
  <c r="D179" i="1" s="1"/>
  <c r="G147" i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C147" i="1"/>
  <c r="C148" i="1" s="1"/>
  <c r="C126" i="1"/>
  <c r="C127" i="1" s="1"/>
  <c r="C128" i="1" s="1"/>
  <c r="C129" i="1" s="1"/>
  <c r="C130" i="1" s="1"/>
  <c r="C131" i="1" s="1"/>
  <c r="C132" i="1" s="1"/>
  <c r="C133" i="1" s="1"/>
  <c r="C134" i="1" s="1"/>
  <c r="C135" i="1" s="1"/>
  <c r="J113" i="1"/>
  <c r="I115" i="1"/>
  <c r="I116" i="1" s="1"/>
  <c r="I117" i="1" s="1"/>
  <c r="I118" i="1" s="1"/>
  <c r="I119" i="1" s="1"/>
  <c r="I120" i="1" s="1"/>
  <c r="I121" i="1" s="1"/>
  <c r="I122" i="1" s="1"/>
  <c r="I123" i="1" s="1"/>
  <c r="H114" i="1"/>
  <c r="H115" i="1" s="1"/>
  <c r="H116" i="1" s="1"/>
  <c r="H117" i="1" s="1"/>
  <c r="H118" i="1" s="1"/>
  <c r="H119" i="1" s="1"/>
  <c r="H120" i="1" s="1"/>
  <c r="H121" i="1" s="1"/>
  <c r="H122" i="1" s="1"/>
  <c r="H123" i="1" s="1"/>
  <c r="D116" i="1"/>
  <c r="C118" i="1"/>
  <c r="C92" i="1"/>
  <c r="C93" i="1" s="1"/>
  <c r="Q47" i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O49" i="1"/>
  <c r="O50" i="1" s="1"/>
  <c r="O51" i="1" s="1"/>
  <c r="O52" i="1" s="1"/>
  <c r="O53" i="1" s="1"/>
  <c r="O54" i="1" s="1"/>
  <c r="O55" i="1" s="1"/>
  <c r="O56" i="1" s="1"/>
  <c r="O57" i="1" s="1"/>
  <c r="K22" i="1"/>
  <c r="K23" i="1" s="1"/>
  <c r="K24" i="1" s="1"/>
  <c r="K25" i="1" s="1"/>
  <c r="K26" i="1" s="1"/>
  <c r="K27" i="1" s="1"/>
  <c r="K28" i="1" s="1"/>
  <c r="K29" i="1" s="1"/>
  <c r="K30" i="1" s="1"/>
  <c r="P47" i="1"/>
  <c r="P48" i="1" s="1"/>
  <c r="K47" i="1"/>
  <c r="K48" i="1" s="1"/>
  <c r="J47" i="1"/>
  <c r="J48" i="1" s="1"/>
  <c r="J49" i="1" s="1"/>
  <c r="E47" i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I48" i="1"/>
  <c r="I49" i="1" s="1"/>
  <c r="I50" i="1" s="1"/>
  <c r="I51" i="1" s="1"/>
  <c r="I52" i="1" s="1"/>
  <c r="I53" i="1" s="1"/>
  <c r="I54" i="1" s="1"/>
  <c r="I55" i="1" s="1"/>
  <c r="I56" i="1" s="1"/>
  <c r="I57" i="1" s="1"/>
  <c r="C48" i="1"/>
  <c r="C49" i="1" s="1"/>
  <c r="C50" i="1" s="1"/>
  <c r="C51" i="1" s="1"/>
  <c r="C52" i="1" s="1"/>
  <c r="C53" i="1" s="1"/>
  <c r="C54" i="1" s="1"/>
  <c r="C55" i="1" s="1"/>
  <c r="C56" i="1" s="1"/>
  <c r="C57" i="1" s="1"/>
  <c r="G21" i="1"/>
  <c r="G22" i="1" s="1"/>
  <c r="G23" i="1" s="1"/>
  <c r="G24" i="1" s="1"/>
  <c r="G25" i="1" s="1"/>
  <c r="G26" i="1" s="1"/>
  <c r="G27" i="1" s="1"/>
  <c r="G28" i="1" s="1"/>
  <c r="G29" i="1" s="1"/>
  <c r="G30" i="1" s="1"/>
  <c r="H21" i="1"/>
  <c r="H22" i="1" s="1"/>
  <c r="H23" i="1" s="1"/>
  <c r="H24" i="1" s="1"/>
  <c r="H25" i="1" s="1"/>
  <c r="H26" i="1" s="1"/>
  <c r="H27" i="1" s="1"/>
  <c r="H28" i="1" s="1"/>
  <c r="H29" i="1" s="1"/>
  <c r="H30" i="1" s="1"/>
  <c r="D21" i="1"/>
  <c r="D22" i="1" s="1"/>
  <c r="D23" i="1" s="1"/>
  <c r="D24" i="1" s="1"/>
  <c r="D25" i="1" s="1"/>
  <c r="D26" i="1" s="1"/>
  <c r="D27" i="1" s="1"/>
  <c r="D28" i="1" s="1"/>
  <c r="D29" i="1" s="1"/>
  <c r="D30" i="1" s="1"/>
  <c r="C21" i="1"/>
  <c r="C22" i="1" s="1"/>
  <c r="C23" i="1" s="1"/>
  <c r="C24" i="1" s="1"/>
  <c r="C25" i="1" s="1"/>
  <c r="C26" i="1" s="1"/>
  <c r="C27" i="1" s="1"/>
  <c r="C28" i="1" s="1"/>
  <c r="C29" i="1" s="1"/>
  <c r="C30" i="1" s="1"/>
  <c r="E510" i="3" l="1"/>
  <c r="F510" i="3" s="1"/>
  <c r="E513" i="3"/>
  <c r="F513" i="3" s="1"/>
  <c r="E505" i="3"/>
  <c r="F505" i="3" s="1"/>
  <c r="E515" i="3"/>
  <c r="F515" i="3" s="1"/>
  <c r="E511" i="3"/>
  <c r="F511" i="3" s="1"/>
  <c r="E507" i="3"/>
  <c r="F507" i="3" s="1"/>
  <c r="E503" i="3"/>
  <c r="F503" i="3" s="1"/>
  <c r="E506" i="3"/>
  <c r="F506" i="3" s="1"/>
  <c r="E509" i="3"/>
  <c r="F509" i="3" s="1"/>
  <c r="E514" i="3"/>
  <c r="F514" i="3" s="1"/>
  <c r="E517" i="3"/>
  <c r="F517" i="3" s="1"/>
  <c r="E516" i="3"/>
  <c r="F516" i="3" s="1"/>
  <c r="E512" i="3"/>
  <c r="F512" i="3" s="1"/>
  <c r="E508" i="3"/>
  <c r="F508" i="3" s="1"/>
  <c r="D154" i="3"/>
  <c r="D163" i="3"/>
  <c r="D150" i="3"/>
  <c r="E458" i="3"/>
  <c r="F458" i="3" s="1"/>
  <c r="E468" i="3"/>
  <c r="F468" i="3" s="1"/>
  <c r="C140" i="3"/>
  <c r="D162" i="3"/>
  <c r="E454" i="3"/>
  <c r="F454" i="3" s="1"/>
  <c r="C198" i="3"/>
  <c r="C199" i="3" s="1"/>
  <c r="C200" i="3" s="1"/>
  <c r="C201" i="3" s="1"/>
  <c r="C202" i="3" s="1"/>
  <c r="C203" i="3" s="1"/>
  <c r="C204" i="3" s="1"/>
  <c r="C205" i="3" s="1"/>
  <c r="C206" i="3" s="1"/>
  <c r="C207" i="3" s="1"/>
  <c r="C208" i="3" s="1"/>
  <c r="C209" i="3" s="1"/>
  <c r="C210" i="3" s="1"/>
  <c r="C211" i="3" s="1"/>
  <c r="E501" i="3"/>
  <c r="F501" i="3" s="1"/>
  <c r="E497" i="3"/>
  <c r="F497" i="3" s="1"/>
  <c r="E493" i="3"/>
  <c r="F493" i="3" s="1"/>
  <c r="D156" i="3"/>
  <c r="E461" i="3"/>
  <c r="F461" i="3" s="1"/>
  <c r="E457" i="3"/>
  <c r="F457" i="3" s="1"/>
  <c r="E478" i="3"/>
  <c r="F478" i="3" s="1"/>
  <c r="E473" i="3"/>
  <c r="F473" i="3" s="1"/>
  <c r="E470" i="3"/>
  <c r="F470" i="3" s="1"/>
  <c r="E465" i="3"/>
  <c r="F465" i="3" s="1"/>
  <c r="E500" i="3"/>
  <c r="F500" i="3" s="1"/>
  <c r="E496" i="3"/>
  <c r="F496" i="3" s="1"/>
  <c r="E453" i="3"/>
  <c r="F453" i="3" s="1"/>
  <c r="E460" i="3"/>
  <c r="F460" i="3" s="1"/>
  <c r="E456" i="3"/>
  <c r="F456" i="3" s="1"/>
  <c r="E475" i="3"/>
  <c r="F475" i="3" s="1"/>
  <c r="E472" i="3"/>
  <c r="F472" i="3" s="1"/>
  <c r="E467" i="3"/>
  <c r="F467" i="3" s="1"/>
  <c r="E464" i="3"/>
  <c r="F464" i="3" s="1"/>
  <c r="E492" i="3"/>
  <c r="F492" i="3" s="1"/>
  <c r="E499" i="3"/>
  <c r="F499" i="3" s="1"/>
  <c r="E495" i="3"/>
  <c r="F495" i="3" s="1"/>
  <c r="E463" i="3"/>
  <c r="F463" i="3" s="1"/>
  <c r="E459" i="3"/>
  <c r="F459" i="3" s="1"/>
  <c r="E455" i="3"/>
  <c r="F455" i="3" s="1"/>
  <c r="E477" i="3"/>
  <c r="F477" i="3" s="1"/>
  <c r="E474" i="3"/>
  <c r="F474" i="3" s="1"/>
  <c r="E469" i="3"/>
  <c r="F469" i="3" s="1"/>
  <c r="E502" i="3"/>
  <c r="F502" i="3" s="1"/>
  <c r="E498" i="3"/>
  <c r="F498" i="3" s="1"/>
  <c r="E494" i="3"/>
  <c r="F494" i="3" s="1"/>
  <c r="D146" i="3"/>
  <c r="D155" i="3"/>
  <c r="D262" i="3"/>
  <c r="D263" i="3" s="1"/>
  <c r="D152" i="3"/>
  <c r="D160" i="3"/>
  <c r="D165" i="3"/>
  <c r="Q64" i="3"/>
  <c r="Q65" i="3" s="1"/>
  <c r="Q66" i="3" s="1"/>
  <c r="Q67" i="3" s="1"/>
  <c r="Q68" i="3" s="1"/>
  <c r="Q69" i="3" s="1"/>
  <c r="Q70" i="3" s="1"/>
  <c r="Q71" i="3" s="1"/>
  <c r="Q72" i="3" s="1"/>
  <c r="Q73" i="3" s="1"/>
  <c r="Q74" i="3" s="1"/>
  <c r="Q75" i="3" s="1"/>
  <c r="Q76" i="3" s="1"/>
  <c r="Q77" i="3" s="1"/>
  <c r="Q78" i="3" s="1"/>
  <c r="Q79" i="3" s="1"/>
  <c r="Q80" i="3" s="1"/>
  <c r="Q81" i="3" s="1"/>
  <c r="Q82" i="3" s="1"/>
  <c r="Q83" i="3" s="1"/>
  <c r="Q84" i="3" s="1"/>
  <c r="Q85" i="3" s="1"/>
  <c r="Q86" i="3" s="1"/>
  <c r="Q87" i="3" s="1"/>
  <c r="Q88" i="3" s="1"/>
  <c r="C226" i="3"/>
  <c r="D264" i="3"/>
  <c r="C263" i="3"/>
  <c r="D164" i="3"/>
  <c r="D148" i="3"/>
  <c r="D158" i="3"/>
  <c r="D167" i="3"/>
  <c r="F363" i="3"/>
  <c r="F364" i="3" s="1"/>
  <c r="F365" i="3" s="1"/>
  <c r="F366" i="3" s="1"/>
  <c r="F367" i="3" s="1"/>
  <c r="F368" i="3" s="1"/>
  <c r="F369" i="3" s="1"/>
  <c r="E223" i="3"/>
  <c r="I223" i="3" s="1"/>
  <c r="D144" i="3"/>
  <c r="E144" i="3" s="1"/>
  <c r="D149" i="3"/>
  <c r="D145" i="3"/>
  <c r="D161" i="3"/>
  <c r="D157" i="3"/>
  <c r="D166" i="3"/>
  <c r="J175" i="3"/>
  <c r="D151" i="3"/>
  <c r="D147" i="3"/>
  <c r="D153" i="3"/>
  <c r="D159" i="3"/>
  <c r="J176" i="3"/>
  <c r="H177" i="3"/>
  <c r="L64" i="3"/>
  <c r="F65" i="3"/>
  <c r="F64" i="3"/>
  <c r="I66" i="3"/>
  <c r="O66" i="3"/>
  <c r="L63" i="3"/>
  <c r="F63" i="3"/>
  <c r="C66" i="3"/>
  <c r="G79" i="2"/>
  <c r="H79" i="2" s="1"/>
  <c r="G83" i="2"/>
  <c r="H83" i="2" s="1"/>
  <c r="G75" i="2"/>
  <c r="H75" i="2" s="1"/>
  <c r="G82" i="2"/>
  <c r="H82" i="2" s="1"/>
  <c r="G78" i="2"/>
  <c r="H78" i="2" s="1"/>
  <c r="G85" i="2"/>
  <c r="H85" i="2" s="1"/>
  <c r="G81" i="2"/>
  <c r="H81" i="2" s="1"/>
  <c r="G77" i="2"/>
  <c r="H77" i="2" s="1"/>
  <c r="G84" i="2"/>
  <c r="H84" i="2" s="1"/>
  <c r="G80" i="2"/>
  <c r="H80" i="2" s="1"/>
  <c r="Q43" i="2"/>
  <c r="R43" i="2" s="1"/>
  <c r="Q39" i="2"/>
  <c r="R39" i="2" s="1"/>
  <c r="E44" i="2"/>
  <c r="F44" i="2" s="1"/>
  <c r="E40" i="2"/>
  <c r="F40" i="2" s="1"/>
  <c r="E36" i="2"/>
  <c r="F36" i="2" s="1"/>
  <c r="E47" i="2" s="1"/>
  <c r="K36" i="2"/>
  <c r="L36" i="2" s="1"/>
  <c r="K47" i="2" s="1"/>
  <c r="K42" i="2"/>
  <c r="L42" i="2" s="1"/>
  <c r="K38" i="2"/>
  <c r="L38" i="2" s="1"/>
  <c r="Q35" i="2"/>
  <c r="R35" i="2" s="1"/>
  <c r="Q42" i="2"/>
  <c r="R42" i="2" s="1"/>
  <c r="Q38" i="2"/>
  <c r="R38" i="2" s="1"/>
  <c r="E43" i="2"/>
  <c r="F43" i="2" s="1"/>
  <c r="K45" i="2"/>
  <c r="L45" i="2" s="1"/>
  <c r="K41" i="2"/>
  <c r="L41" i="2" s="1"/>
  <c r="Q45" i="2"/>
  <c r="R45" i="2" s="1"/>
  <c r="Q41" i="2"/>
  <c r="R41" i="2" s="1"/>
  <c r="Q37" i="2"/>
  <c r="R37" i="2" s="1"/>
  <c r="Q44" i="2"/>
  <c r="R44" i="2" s="1"/>
  <c r="Q40" i="2"/>
  <c r="R40" i="2" s="1"/>
  <c r="F250" i="1"/>
  <c r="G250" i="1" s="1"/>
  <c r="F248" i="1"/>
  <c r="G248" i="1" s="1"/>
  <c r="F252" i="1"/>
  <c r="G252" i="1" s="1"/>
  <c r="F247" i="1"/>
  <c r="G247" i="1" s="1"/>
  <c r="G251" i="1"/>
  <c r="F246" i="1"/>
  <c r="G246" i="1" s="1"/>
  <c r="F253" i="1"/>
  <c r="G253" i="1" s="1"/>
  <c r="F249" i="1"/>
  <c r="G249" i="1" s="1"/>
  <c r="F245" i="1"/>
  <c r="G245" i="1" s="1"/>
  <c r="E147" i="1"/>
  <c r="E148" i="1"/>
  <c r="I148" i="1" s="1"/>
  <c r="C149" i="1"/>
  <c r="I147" i="1"/>
  <c r="C170" i="1"/>
  <c r="J123" i="1"/>
  <c r="J121" i="1"/>
  <c r="J117" i="1"/>
  <c r="J120" i="1"/>
  <c r="J116" i="1"/>
  <c r="J119" i="1"/>
  <c r="J115" i="1"/>
  <c r="J122" i="1"/>
  <c r="J118" i="1"/>
  <c r="J114" i="1"/>
  <c r="F57" i="1"/>
  <c r="F52" i="1"/>
  <c r="F55" i="1"/>
  <c r="F51" i="1"/>
  <c r="L47" i="1"/>
  <c r="F56" i="1"/>
  <c r="F47" i="1"/>
  <c r="F54" i="1"/>
  <c r="F50" i="1"/>
  <c r="F48" i="1"/>
  <c r="F53" i="1"/>
  <c r="F49" i="1"/>
  <c r="P49" i="1"/>
  <c r="R48" i="1"/>
  <c r="R47" i="1"/>
  <c r="K49" i="1"/>
  <c r="K50" i="1" s="1"/>
  <c r="K51" i="1" s="1"/>
  <c r="K52" i="1" s="1"/>
  <c r="K53" i="1" s="1"/>
  <c r="K54" i="1" s="1"/>
  <c r="K55" i="1" s="1"/>
  <c r="K56" i="1" s="1"/>
  <c r="K57" i="1" s="1"/>
  <c r="L48" i="1"/>
  <c r="J50" i="1"/>
  <c r="F519" i="3" l="1"/>
  <c r="C262" i="3"/>
  <c r="E480" i="3"/>
  <c r="E430" i="3"/>
  <c r="E145" i="3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D265" i="3"/>
  <c r="C264" i="3"/>
  <c r="C227" i="3"/>
  <c r="E226" i="3"/>
  <c r="R64" i="3"/>
  <c r="F370" i="3"/>
  <c r="F371" i="3" s="1"/>
  <c r="F372" i="3" s="1"/>
  <c r="F373" i="3" s="1"/>
  <c r="I224" i="3"/>
  <c r="C94" i="3"/>
  <c r="C95" i="3"/>
  <c r="J177" i="3"/>
  <c r="H178" i="3"/>
  <c r="L65" i="3"/>
  <c r="L66" i="3"/>
  <c r="I67" i="3"/>
  <c r="R65" i="3"/>
  <c r="F66" i="3"/>
  <c r="C67" i="3"/>
  <c r="R66" i="3"/>
  <c r="O67" i="3"/>
  <c r="H87" i="2"/>
  <c r="Q47" i="2"/>
  <c r="C63" i="1"/>
  <c r="C64" i="1"/>
  <c r="C190" i="1"/>
  <c r="E190" i="1" s="1"/>
  <c r="C150" i="1"/>
  <c r="E149" i="1"/>
  <c r="I149" i="1" s="1"/>
  <c r="C191" i="1"/>
  <c r="R49" i="1"/>
  <c r="P50" i="1"/>
  <c r="J51" i="1"/>
  <c r="L50" i="1"/>
  <c r="L49" i="1"/>
  <c r="C192" i="1" s="1"/>
  <c r="E433" i="3" l="1"/>
  <c r="K438" i="3"/>
  <c r="K440" i="3" s="1"/>
  <c r="D266" i="3"/>
  <c r="C265" i="3"/>
  <c r="C96" i="3"/>
  <c r="C296" i="3"/>
  <c r="C395" i="3"/>
  <c r="C394" i="3"/>
  <c r="C295" i="3"/>
  <c r="C228" i="3"/>
  <c r="E227" i="3"/>
  <c r="F374" i="3"/>
  <c r="F375" i="3" s="1"/>
  <c r="F376" i="3" s="1"/>
  <c r="F377" i="3" s="1"/>
  <c r="I225" i="3"/>
  <c r="C97" i="3"/>
  <c r="J178" i="3"/>
  <c r="H179" i="3"/>
  <c r="F67" i="3"/>
  <c r="C68" i="3"/>
  <c r="R67" i="3"/>
  <c r="O68" i="3"/>
  <c r="L67" i="3"/>
  <c r="I68" i="3"/>
  <c r="C65" i="1"/>
  <c r="D190" i="1"/>
  <c r="F190" i="1"/>
  <c r="F192" i="1"/>
  <c r="D192" i="1"/>
  <c r="E192" i="1"/>
  <c r="F191" i="1"/>
  <c r="D191" i="1"/>
  <c r="E191" i="1"/>
  <c r="C151" i="1"/>
  <c r="E150" i="1"/>
  <c r="I150" i="1" s="1"/>
  <c r="P51" i="1"/>
  <c r="R50" i="1"/>
  <c r="C193" i="1" s="1"/>
  <c r="J52" i="1"/>
  <c r="L51" i="1"/>
  <c r="C229" i="3" l="1"/>
  <c r="E228" i="3"/>
  <c r="E295" i="3"/>
  <c r="D295" i="3"/>
  <c r="F295" i="3"/>
  <c r="C396" i="3"/>
  <c r="C297" i="3"/>
  <c r="C298" i="3"/>
  <c r="C397" i="3"/>
  <c r="D267" i="3"/>
  <c r="C266" i="3"/>
  <c r="F296" i="3"/>
  <c r="E296" i="3"/>
  <c r="D296" i="3"/>
  <c r="F378" i="3"/>
  <c r="I226" i="3"/>
  <c r="C98" i="3"/>
  <c r="H180" i="3"/>
  <c r="J179" i="3"/>
  <c r="L68" i="3"/>
  <c r="I69" i="3"/>
  <c r="F68" i="3"/>
  <c r="C69" i="3"/>
  <c r="R68" i="3"/>
  <c r="O69" i="3"/>
  <c r="C66" i="1"/>
  <c r="G190" i="1"/>
  <c r="E193" i="1"/>
  <c r="F193" i="1"/>
  <c r="D193" i="1"/>
  <c r="G191" i="1"/>
  <c r="C227" i="1" s="1"/>
  <c r="C152" i="1"/>
  <c r="E151" i="1"/>
  <c r="I151" i="1" s="1"/>
  <c r="G192" i="1"/>
  <c r="C228" i="1" s="1"/>
  <c r="P52" i="1"/>
  <c r="R51" i="1"/>
  <c r="C194" i="1" s="1"/>
  <c r="J53" i="1"/>
  <c r="L52" i="1"/>
  <c r="C230" i="3" l="1"/>
  <c r="E229" i="3"/>
  <c r="D298" i="3"/>
  <c r="F298" i="3"/>
  <c r="E298" i="3"/>
  <c r="F297" i="3"/>
  <c r="E297" i="3"/>
  <c r="D297" i="3"/>
  <c r="C299" i="3"/>
  <c r="C398" i="3"/>
  <c r="G295" i="3"/>
  <c r="C361" i="3" s="1"/>
  <c r="D394" i="3" s="1"/>
  <c r="E394" i="3" s="1"/>
  <c r="G296" i="3"/>
  <c r="C362" i="3" s="1"/>
  <c r="D395" i="3" s="1"/>
  <c r="E395" i="3" s="1"/>
  <c r="D268" i="3"/>
  <c r="C267" i="3"/>
  <c r="F379" i="3"/>
  <c r="F380" i="3" s="1"/>
  <c r="F381" i="3" s="1"/>
  <c r="I227" i="3"/>
  <c r="C99" i="3"/>
  <c r="H181" i="3"/>
  <c r="J180" i="3"/>
  <c r="R69" i="3"/>
  <c r="O70" i="3"/>
  <c r="L69" i="3"/>
  <c r="I70" i="3"/>
  <c r="F69" i="3"/>
  <c r="C70" i="3"/>
  <c r="C67" i="1"/>
  <c r="G193" i="1"/>
  <c r="C229" i="1" s="1"/>
  <c r="C153" i="1"/>
  <c r="E152" i="1"/>
  <c r="I152" i="1" s="1"/>
  <c r="E194" i="1"/>
  <c r="F194" i="1"/>
  <c r="D194" i="1"/>
  <c r="P53" i="1"/>
  <c r="R52" i="1"/>
  <c r="C195" i="1" s="1"/>
  <c r="L53" i="1"/>
  <c r="J54" i="1"/>
  <c r="G297" i="3" l="1"/>
  <c r="C363" i="3" s="1"/>
  <c r="D396" i="3" s="1"/>
  <c r="E396" i="3" s="1"/>
  <c r="F396" i="3" s="1"/>
  <c r="G396" i="3" s="1"/>
  <c r="C100" i="3"/>
  <c r="C400" i="3" s="1"/>
  <c r="D269" i="3"/>
  <c r="C268" i="3"/>
  <c r="E299" i="3"/>
  <c r="D299" i="3"/>
  <c r="F299" i="3"/>
  <c r="C300" i="3"/>
  <c r="C399" i="3"/>
  <c r="F394" i="3"/>
  <c r="G394" i="3" s="1"/>
  <c r="G298" i="3"/>
  <c r="C364" i="3" s="1"/>
  <c r="D397" i="3" s="1"/>
  <c r="E397" i="3" s="1"/>
  <c r="F395" i="3"/>
  <c r="G395" i="3" s="1"/>
  <c r="C231" i="3"/>
  <c r="E230" i="3"/>
  <c r="F382" i="3"/>
  <c r="I228" i="3"/>
  <c r="H182" i="3"/>
  <c r="J181" i="3"/>
  <c r="L70" i="3"/>
  <c r="I71" i="3"/>
  <c r="F70" i="3"/>
  <c r="C71" i="3"/>
  <c r="R70" i="3"/>
  <c r="O71" i="3"/>
  <c r="C68" i="1"/>
  <c r="F195" i="1"/>
  <c r="D195" i="1"/>
  <c r="E195" i="1"/>
  <c r="G194" i="1"/>
  <c r="C230" i="1" s="1"/>
  <c r="C154" i="1"/>
  <c r="E153" i="1"/>
  <c r="I153" i="1" s="1"/>
  <c r="R53" i="1"/>
  <c r="C196" i="1" s="1"/>
  <c r="P54" i="1"/>
  <c r="J55" i="1"/>
  <c r="L54" i="1"/>
  <c r="C301" i="3" l="1"/>
  <c r="E301" i="3" s="1"/>
  <c r="C232" i="3"/>
  <c r="E231" i="3"/>
  <c r="F397" i="3"/>
  <c r="G397" i="3" s="1"/>
  <c r="G299" i="3"/>
  <c r="C365" i="3" s="1"/>
  <c r="D398" i="3" s="1"/>
  <c r="E398" i="3" s="1"/>
  <c r="F300" i="3"/>
  <c r="E300" i="3"/>
  <c r="D300" i="3"/>
  <c r="D270" i="3"/>
  <c r="C269" i="3"/>
  <c r="D301" i="3"/>
  <c r="F383" i="3"/>
  <c r="I229" i="3"/>
  <c r="C101" i="3"/>
  <c r="J182" i="3"/>
  <c r="H183" i="3"/>
  <c r="F71" i="3"/>
  <c r="C72" i="3"/>
  <c r="R71" i="3"/>
  <c r="O72" i="3"/>
  <c r="L71" i="3"/>
  <c r="I72" i="3"/>
  <c r="C69" i="1"/>
  <c r="F196" i="1"/>
  <c r="D196" i="1"/>
  <c r="E196" i="1"/>
  <c r="C155" i="1"/>
  <c r="E154" i="1"/>
  <c r="I154" i="1" s="1"/>
  <c r="G195" i="1"/>
  <c r="C231" i="1" s="1"/>
  <c r="P55" i="1"/>
  <c r="R54" i="1"/>
  <c r="C197" i="1" s="1"/>
  <c r="J56" i="1"/>
  <c r="L55" i="1"/>
  <c r="F301" i="3" l="1"/>
  <c r="G301" i="3" s="1"/>
  <c r="C367" i="3" s="1"/>
  <c r="D400" i="3" s="1"/>
  <c r="E400" i="3" s="1"/>
  <c r="D271" i="3"/>
  <c r="C270" i="3"/>
  <c r="C302" i="3"/>
  <c r="C401" i="3"/>
  <c r="G300" i="3"/>
  <c r="C366" i="3" s="1"/>
  <c r="D399" i="3" s="1"/>
  <c r="E399" i="3" s="1"/>
  <c r="F398" i="3"/>
  <c r="G398" i="3" s="1"/>
  <c r="C233" i="3"/>
  <c r="E232" i="3"/>
  <c r="I230" i="3"/>
  <c r="C102" i="3"/>
  <c r="H184" i="3"/>
  <c r="J183" i="3"/>
  <c r="L72" i="3"/>
  <c r="I73" i="3"/>
  <c r="F72" i="3"/>
  <c r="C73" i="3"/>
  <c r="R72" i="3"/>
  <c r="O73" i="3"/>
  <c r="C70" i="1"/>
  <c r="C156" i="1"/>
  <c r="E155" i="1"/>
  <c r="I155" i="1" s="1"/>
  <c r="E197" i="1"/>
  <c r="F197" i="1"/>
  <c r="D197" i="1"/>
  <c r="G196" i="1"/>
  <c r="C232" i="1" s="1"/>
  <c r="P56" i="1"/>
  <c r="R55" i="1"/>
  <c r="C198" i="1" s="1"/>
  <c r="J57" i="1"/>
  <c r="L57" i="1" s="1"/>
  <c r="L56" i="1"/>
  <c r="F400" i="3" l="1"/>
  <c r="G400" i="3" s="1"/>
  <c r="F399" i="3"/>
  <c r="G399" i="3" s="1"/>
  <c r="C271" i="3"/>
  <c r="D272" i="3"/>
  <c r="J184" i="3"/>
  <c r="H185" i="3"/>
  <c r="E233" i="3"/>
  <c r="C234" i="3"/>
  <c r="C303" i="3"/>
  <c r="C402" i="3"/>
  <c r="D302" i="3"/>
  <c r="F302" i="3"/>
  <c r="E302" i="3"/>
  <c r="I231" i="3"/>
  <c r="F73" i="3"/>
  <c r="C74" i="3"/>
  <c r="C103" i="3"/>
  <c r="R73" i="3"/>
  <c r="O74" i="3"/>
  <c r="L73" i="3"/>
  <c r="I74" i="3"/>
  <c r="C71" i="1"/>
  <c r="G197" i="1"/>
  <c r="C233" i="1" s="1"/>
  <c r="F198" i="1"/>
  <c r="E198" i="1"/>
  <c r="D198" i="1"/>
  <c r="C157" i="1"/>
  <c r="E156" i="1"/>
  <c r="I156" i="1" s="1"/>
  <c r="P57" i="1"/>
  <c r="R57" i="1" s="1"/>
  <c r="C73" i="1" s="1"/>
  <c r="R56" i="1"/>
  <c r="C199" i="1" s="1"/>
  <c r="G302" i="3" l="1"/>
  <c r="C368" i="3" s="1"/>
  <c r="D401" i="3" s="1"/>
  <c r="E401" i="3" s="1"/>
  <c r="E234" i="3"/>
  <c r="I234" i="3" s="1"/>
  <c r="C235" i="3"/>
  <c r="J185" i="3"/>
  <c r="H186" i="3"/>
  <c r="D273" i="3"/>
  <c r="C272" i="3"/>
  <c r="C304" i="3"/>
  <c r="C403" i="3"/>
  <c r="E303" i="3"/>
  <c r="D303" i="3"/>
  <c r="F303" i="3"/>
  <c r="I232" i="3"/>
  <c r="L74" i="3"/>
  <c r="I75" i="3"/>
  <c r="F74" i="3"/>
  <c r="C75" i="3"/>
  <c r="R74" i="3"/>
  <c r="O75" i="3"/>
  <c r="C104" i="3"/>
  <c r="C72" i="1"/>
  <c r="G198" i="1"/>
  <c r="C234" i="1" s="1"/>
  <c r="F199" i="1"/>
  <c r="D199" i="1"/>
  <c r="E199" i="1"/>
  <c r="E157" i="1"/>
  <c r="I157" i="1" s="1"/>
  <c r="C200" i="1"/>
  <c r="C105" i="3" l="1"/>
  <c r="C306" i="3" s="1"/>
  <c r="G303" i="3"/>
  <c r="C369" i="3" s="1"/>
  <c r="D402" i="3" s="1"/>
  <c r="E402" i="3" s="1"/>
  <c r="F402" i="3" s="1"/>
  <c r="G402" i="3" s="1"/>
  <c r="E235" i="3"/>
  <c r="I235" i="3" s="1"/>
  <c r="C236" i="3"/>
  <c r="C404" i="3"/>
  <c r="C305" i="3"/>
  <c r="F304" i="3"/>
  <c r="E304" i="3"/>
  <c r="D304" i="3"/>
  <c r="D274" i="3"/>
  <c r="C273" i="3"/>
  <c r="H187" i="3"/>
  <c r="J186" i="3"/>
  <c r="F401" i="3"/>
  <c r="G401" i="3" s="1"/>
  <c r="I233" i="3"/>
  <c r="F75" i="3"/>
  <c r="C76" i="3"/>
  <c r="R75" i="3"/>
  <c r="O76" i="3"/>
  <c r="L75" i="3"/>
  <c r="I76" i="3"/>
  <c r="E200" i="1"/>
  <c r="F200" i="1"/>
  <c r="D200" i="1"/>
  <c r="G199" i="1"/>
  <c r="C235" i="1" s="1"/>
  <c r="C405" i="3" l="1"/>
  <c r="G304" i="3"/>
  <c r="C370" i="3" s="1"/>
  <c r="D403" i="3" s="1"/>
  <c r="E403" i="3" s="1"/>
  <c r="F305" i="3"/>
  <c r="E305" i="3"/>
  <c r="D305" i="3"/>
  <c r="C274" i="3"/>
  <c r="D275" i="3"/>
  <c r="E236" i="3"/>
  <c r="I236" i="3" s="1"/>
  <c r="C237" i="3"/>
  <c r="J187" i="3"/>
  <c r="H188" i="3"/>
  <c r="D306" i="3"/>
  <c r="F306" i="3"/>
  <c r="E306" i="3"/>
  <c r="R76" i="3"/>
  <c r="O77" i="3"/>
  <c r="L76" i="3"/>
  <c r="I77" i="3"/>
  <c r="F76" i="3"/>
  <c r="C77" i="3"/>
  <c r="C106" i="3"/>
  <c r="G200" i="1"/>
  <c r="C236" i="1" s="1"/>
  <c r="G306" i="3" l="1"/>
  <c r="C372" i="3" s="1"/>
  <c r="D405" i="3" s="1"/>
  <c r="E405" i="3" s="1"/>
  <c r="F405" i="3" s="1"/>
  <c r="G405" i="3" s="1"/>
  <c r="E237" i="3"/>
  <c r="I237" i="3" s="1"/>
  <c r="C238" i="3"/>
  <c r="J188" i="3"/>
  <c r="H189" i="3"/>
  <c r="F403" i="3"/>
  <c r="G403" i="3" s="1"/>
  <c r="C275" i="3"/>
  <c r="D276" i="3"/>
  <c r="G305" i="3"/>
  <c r="C371" i="3" s="1"/>
  <c r="D404" i="3" s="1"/>
  <c r="E404" i="3" s="1"/>
  <c r="C406" i="3"/>
  <c r="C307" i="3"/>
  <c r="L77" i="3"/>
  <c r="I78" i="3"/>
  <c r="F77" i="3"/>
  <c r="C78" i="3"/>
  <c r="R77" i="3"/>
  <c r="O78" i="3"/>
  <c r="C107" i="3"/>
  <c r="D277" i="3" l="1"/>
  <c r="C276" i="3"/>
  <c r="E307" i="3"/>
  <c r="D307" i="3"/>
  <c r="F307" i="3"/>
  <c r="H190" i="3"/>
  <c r="J189" i="3"/>
  <c r="E238" i="3"/>
  <c r="I238" i="3" s="1"/>
  <c r="C239" i="3"/>
  <c r="C308" i="3"/>
  <c r="C407" i="3"/>
  <c r="C108" i="3"/>
  <c r="F404" i="3"/>
  <c r="G404" i="3" s="1"/>
  <c r="F78" i="3"/>
  <c r="C79" i="3"/>
  <c r="L78" i="3"/>
  <c r="I79" i="3"/>
  <c r="R78" i="3"/>
  <c r="O79" i="3"/>
  <c r="C408" i="3" l="1"/>
  <c r="C309" i="3"/>
  <c r="J190" i="3"/>
  <c r="H191" i="3"/>
  <c r="C277" i="3"/>
  <c r="D278" i="3"/>
  <c r="E239" i="3"/>
  <c r="I239" i="3" s="1"/>
  <c r="C240" i="3"/>
  <c r="F308" i="3"/>
  <c r="E308" i="3"/>
  <c r="D308" i="3"/>
  <c r="G307" i="3"/>
  <c r="C373" i="3" s="1"/>
  <c r="D406" i="3" s="1"/>
  <c r="E406" i="3" s="1"/>
  <c r="R79" i="3"/>
  <c r="O80" i="3"/>
  <c r="F79" i="3"/>
  <c r="C80" i="3"/>
  <c r="L79" i="3"/>
  <c r="I80" i="3"/>
  <c r="C109" i="3"/>
  <c r="F406" i="3" l="1"/>
  <c r="G406" i="3" s="1"/>
  <c r="E240" i="3"/>
  <c r="I240" i="3" s="1"/>
  <c r="C241" i="3"/>
  <c r="D279" i="3"/>
  <c r="C278" i="3"/>
  <c r="C310" i="3"/>
  <c r="C409" i="3"/>
  <c r="C110" i="3"/>
  <c r="G308" i="3"/>
  <c r="C374" i="3" s="1"/>
  <c r="D407" i="3" s="1"/>
  <c r="E407" i="3" s="1"/>
  <c r="F309" i="3"/>
  <c r="E309" i="3"/>
  <c r="D309" i="3"/>
  <c r="J191" i="3"/>
  <c r="H192" i="3"/>
  <c r="F80" i="3"/>
  <c r="C81" i="3"/>
  <c r="L80" i="3"/>
  <c r="I81" i="3"/>
  <c r="R80" i="3"/>
  <c r="O81" i="3"/>
  <c r="G309" i="3" l="1"/>
  <c r="C375" i="3" s="1"/>
  <c r="D408" i="3" s="1"/>
  <c r="E408" i="3" s="1"/>
  <c r="C311" i="3"/>
  <c r="C410" i="3"/>
  <c r="C279" i="3"/>
  <c r="D280" i="3"/>
  <c r="F407" i="3"/>
  <c r="G407" i="3" s="1"/>
  <c r="E241" i="3"/>
  <c r="I241" i="3" s="1"/>
  <c r="C242" i="3"/>
  <c r="H193" i="3"/>
  <c r="J192" i="3"/>
  <c r="D310" i="3"/>
  <c r="F310" i="3"/>
  <c r="E310" i="3"/>
  <c r="L81" i="3"/>
  <c r="I82" i="3"/>
  <c r="R81" i="3"/>
  <c r="O82" i="3"/>
  <c r="F81" i="3"/>
  <c r="C82" i="3"/>
  <c r="C111" i="3"/>
  <c r="C411" i="3" l="1"/>
  <c r="C312" i="3"/>
  <c r="G310" i="3"/>
  <c r="C376" i="3" s="1"/>
  <c r="D409" i="3" s="1"/>
  <c r="E409" i="3" s="1"/>
  <c r="E311" i="3"/>
  <c r="D311" i="3"/>
  <c r="F311" i="3"/>
  <c r="C280" i="3"/>
  <c r="D281" i="3"/>
  <c r="F408" i="3"/>
  <c r="G408" i="3" s="1"/>
  <c r="E242" i="3"/>
  <c r="I242" i="3"/>
  <c r="C243" i="3"/>
  <c r="H194" i="3"/>
  <c r="J193" i="3"/>
  <c r="R82" i="3"/>
  <c r="O83" i="3"/>
  <c r="F82" i="3"/>
  <c r="C83" i="3"/>
  <c r="L82" i="3"/>
  <c r="I83" i="3"/>
  <c r="C112" i="3"/>
  <c r="C113" i="3" l="1"/>
  <c r="C314" i="3" s="1"/>
  <c r="E243" i="3"/>
  <c r="I243" i="3"/>
  <c r="C244" i="3"/>
  <c r="G311" i="3"/>
  <c r="C377" i="3" s="1"/>
  <c r="D410" i="3" s="1"/>
  <c r="E410" i="3" s="1"/>
  <c r="F312" i="3"/>
  <c r="E312" i="3"/>
  <c r="D312" i="3"/>
  <c r="J194" i="3"/>
  <c r="H195" i="3"/>
  <c r="C281" i="3"/>
  <c r="D282" i="3"/>
  <c r="C412" i="3"/>
  <c r="C313" i="3"/>
  <c r="F409" i="3"/>
  <c r="G409" i="3" s="1"/>
  <c r="F83" i="3"/>
  <c r="C84" i="3"/>
  <c r="L83" i="3"/>
  <c r="I84" i="3"/>
  <c r="R83" i="3"/>
  <c r="O84" i="3"/>
  <c r="C413" i="3" l="1"/>
  <c r="H196" i="3"/>
  <c r="J195" i="3"/>
  <c r="F410" i="3"/>
  <c r="G410" i="3" s="1"/>
  <c r="C282" i="3"/>
  <c r="D283" i="3"/>
  <c r="F313" i="3"/>
  <c r="E313" i="3"/>
  <c r="D313" i="3"/>
  <c r="G312" i="3"/>
  <c r="C378" i="3" s="1"/>
  <c r="D411" i="3" s="1"/>
  <c r="E411" i="3" s="1"/>
  <c r="E244" i="3"/>
  <c r="I244" i="3" s="1"/>
  <c r="C245" i="3"/>
  <c r="D314" i="3"/>
  <c r="F314" i="3"/>
  <c r="E314" i="3"/>
  <c r="L84" i="3"/>
  <c r="I85" i="3"/>
  <c r="R84" i="3"/>
  <c r="O85" i="3"/>
  <c r="F84" i="3"/>
  <c r="C85" i="3"/>
  <c r="C114" i="3"/>
  <c r="G313" i="3" l="1"/>
  <c r="C379" i="3" s="1"/>
  <c r="D412" i="3" s="1"/>
  <c r="E412" i="3" s="1"/>
  <c r="F412" i="3"/>
  <c r="G412" i="3" s="1"/>
  <c r="H197" i="3"/>
  <c r="J196" i="3"/>
  <c r="E245" i="3"/>
  <c r="I245" i="3"/>
  <c r="C246" i="3"/>
  <c r="C414" i="3"/>
  <c r="C315" i="3"/>
  <c r="G314" i="3"/>
  <c r="C380" i="3" s="1"/>
  <c r="D413" i="3" s="1"/>
  <c r="E413" i="3" s="1"/>
  <c r="F411" i="3"/>
  <c r="G411" i="3" s="1"/>
  <c r="C283" i="3"/>
  <c r="D284" i="3"/>
  <c r="R85" i="3"/>
  <c r="O86" i="3"/>
  <c r="F85" i="3"/>
  <c r="C86" i="3"/>
  <c r="L85" i="3"/>
  <c r="I86" i="3"/>
  <c r="C115" i="3"/>
  <c r="E246" i="3" l="1"/>
  <c r="I246" i="3" s="1"/>
  <c r="C247" i="3"/>
  <c r="D285" i="3"/>
  <c r="C285" i="3" s="1"/>
  <c r="C284" i="3"/>
  <c r="H198" i="3"/>
  <c r="J197" i="3"/>
  <c r="C116" i="3"/>
  <c r="F413" i="3"/>
  <c r="G413" i="3" s="1"/>
  <c r="C316" i="3"/>
  <c r="C415" i="3"/>
  <c r="E315" i="3"/>
  <c r="D315" i="3"/>
  <c r="F315" i="3"/>
  <c r="F86" i="3"/>
  <c r="C87" i="3"/>
  <c r="L86" i="3"/>
  <c r="I87" i="3"/>
  <c r="R86" i="3"/>
  <c r="O87" i="3"/>
  <c r="J198" i="3" l="1"/>
  <c r="H199" i="3"/>
  <c r="J199" i="3" s="1"/>
  <c r="D177" i="3" s="1"/>
  <c r="E247" i="3"/>
  <c r="I247" i="3" s="1"/>
  <c r="C248" i="3"/>
  <c r="F316" i="3"/>
  <c r="E316" i="3"/>
  <c r="D316" i="3"/>
  <c r="G315" i="3"/>
  <c r="C381" i="3" s="1"/>
  <c r="D414" i="3" s="1"/>
  <c r="E414" i="3" s="1"/>
  <c r="C416" i="3"/>
  <c r="C317" i="3"/>
  <c r="L87" i="3"/>
  <c r="I88" i="3"/>
  <c r="L88" i="3" s="1"/>
  <c r="R87" i="3"/>
  <c r="O88" i="3"/>
  <c r="R88" i="3" s="1"/>
  <c r="F87" i="3"/>
  <c r="C88" i="3"/>
  <c r="F88" i="3" s="1"/>
  <c r="C117" i="3"/>
  <c r="G316" i="3" l="1"/>
  <c r="C382" i="3" s="1"/>
  <c r="D415" i="3" s="1"/>
  <c r="E415" i="3" s="1"/>
  <c r="F415" i="3" s="1"/>
  <c r="G415" i="3" s="1"/>
  <c r="C318" i="3"/>
  <c r="C417" i="3"/>
  <c r="F414" i="3"/>
  <c r="G414" i="3" s="1"/>
  <c r="F317" i="3"/>
  <c r="E317" i="3"/>
  <c r="D317" i="3"/>
  <c r="E248" i="3"/>
  <c r="I248" i="3" s="1"/>
  <c r="C119" i="3"/>
  <c r="C118" i="3"/>
  <c r="G317" i="3" l="1"/>
  <c r="C383" i="3" s="1"/>
  <c r="D416" i="3" s="1"/>
  <c r="E416" i="3" s="1"/>
  <c r="F416" i="3" s="1"/>
  <c r="G416" i="3" s="1"/>
  <c r="D318" i="3"/>
  <c r="F318" i="3"/>
  <c r="E318" i="3"/>
  <c r="C319" i="3"/>
  <c r="C418" i="3"/>
  <c r="C419" i="3"/>
  <c r="C320" i="3"/>
  <c r="G318" i="3" l="1"/>
  <c r="C384" i="3" s="1"/>
  <c r="D417" i="3" s="1"/>
  <c r="E417" i="3" s="1"/>
  <c r="F417" i="3" s="1"/>
  <c r="G417" i="3" s="1"/>
  <c r="E319" i="3"/>
  <c r="D319" i="3"/>
  <c r="F319" i="3"/>
  <c r="F320" i="3"/>
  <c r="E320" i="3"/>
  <c r="D320" i="3"/>
  <c r="G320" i="3" l="1"/>
  <c r="C386" i="3" s="1"/>
  <c r="D419" i="3" s="1"/>
  <c r="E419" i="3" s="1"/>
  <c r="G319" i="3"/>
  <c r="C385" i="3" s="1"/>
  <c r="D418" i="3" s="1"/>
  <c r="E418" i="3" s="1"/>
  <c r="F418" i="3" l="1"/>
  <c r="G418" i="3" s="1"/>
  <c r="F419" i="3"/>
  <c r="G419" i="3" s="1"/>
</calcChain>
</file>

<file path=xl/sharedStrings.xml><?xml version="1.0" encoding="utf-8"?>
<sst xmlns="http://schemas.openxmlformats.org/spreadsheetml/2006/main" count="376" uniqueCount="135">
  <si>
    <t>Investment Analysis Case Study</t>
  </si>
  <si>
    <t>US and Russia participants</t>
  </si>
  <si>
    <t>International</t>
  </si>
  <si>
    <t>Without Alternium</t>
  </si>
  <si>
    <t>With Alternium</t>
  </si>
  <si>
    <t>Population</t>
  </si>
  <si>
    <t>$45 Million</t>
  </si>
  <si>
    <t>$30 Million</t>
  </si>
  <si>
    <t>5% (10 years)</t>
  </si>
  <si>
    <t>8% (10 years)</t>
  </si>
  <si>
    <t>10% (10 years)</t>
  </si>
  <si>
    <t>Years</t>
  </si>
  <si>
    <t>Year</t>
  </si>
  <si>
    <t>1)Market Potential And Share</t>
  </si>
  <si>
    <t>2)International(in millions)</t>
  </si>
  <si>
    <t>1)US and Russia participants(in millions)</t>
  </si>
  <si>
    <t>Alternium(only)</t>
  </si>
  <si>
    <t>3)International(offer plan with only Alternium)</t>
  </si>
  <si>
    <t>2)Pricing and Unit costs</t>
  </si>
  <si>
    <t>Flat exchange charges paid by each participant</t>
  </si>
  <si>
    <t>Cost of servicing US and Russian participants</t>
  </si>
  <si>
    <t>Cost of servicing international participants</t>
  </si>
  <si>
    <t xml:space="preserve"> International participants(Alternium isolation plan)</t>
  </si>
  <si>
    <t>Cost of servicing</t>
  </si>
  <si>
    <t>Flat exchange charge</t>
  </si>
  <si>
    <t>Inflation</t>
  </si>
  <si>
    <t>Flat Exchange charges</t>
  </si>
  <si>
    <t>$48</t>
  </si>
  <si>
    <t>Revenue(in mil)</t>
  </si>
  <si>
    <t xml:space="preserve">Total Revenue </t>
  </si>
  <si>
    <t>3)Expenses</t>
  </si>
  <si>
    <t>1)Research and development</t>
  </si>
  <si>
    <t>Universal Swap - Liquidity Pools ("Alternium")</t>
  </si>
  <si>
    <t>2)Introductory costs</t>
  </si>
  <si>
    <t>Amount to spend (now)</t>
  </si>
  <si>
    <t>Analysis  : 2022-2032</t>
  </si>
  <si>
    <t>$1000 Million</t>
  </si>
  <si>
    <t>Depreciation tenure</t>
  </si>
  <si>
    <t>10 years</t>
  </si>
  <si>
    <t>Salvage value</t>
  </si>
  <si>
    <t>$200 Million</t>
  </si>
  <si>
    <t>Straight line depreciation method used : So depreciation amt will remain constant over the 10 years</t>
  </si>
  <si>
    <t>Depreciation Amt/year(in millions)</t>
  </si>
  <si>
    <t>Total depreciation          (in millions)</t>
  </si>
  <si>
    <t>3)Server facility and costs</t>
  </si>
  <si>
    <t>Universal Swap uses servers in Romania for its international participants</t>
  </si>
  <si>
    <t>Current year-2022</t>
  </si>
  <si>
    <t>Facility used</t>
  </si>
  <si>
    <t>30 Million</t>
  </si>
  <si>
    <t>2032(After 10 years)</t>
  </si>
  <si>
    <t>Facility max usage(pop)</t>
  </si>
  <si>
    <t>(77.812+9.995)</t>
  </si>
  <si>
    <t>International participants</t>
  </si>
  <si>
    <t>Total</t>
  </si>
  <si>
    <t>Cost of server(in millions)</t>
  </si>
  <si>
    <t>4)G&amp;A expenses</t>
  </si>
  <si>
    <t>$400 Mil</t>
  </si>
  <si>
    <t>Costs total(2022)</t>
  </si>
  <si>
    <t>Growth rate</t>
  </si>
  <si>
    <t>When Alternium is operational:</t>
  </si>
  <si>
    <t>Amt increase</t>
  </si>
  <si>
    <t>$40 Mil</t>
  </si>
  <si>
    <t>Alternium G&amp;A (In millions)</t>
  </si>
  <si>
    <t>Total G&amp;A (In millions)</t>
  </si>
  <si>
    <t>Allocation to Alternium (In millions)</t>
  </si>
  <si>
    <t xml:space="preserve"> Entire Firms G&amp;A (In millions)</t>
  </si>
  <si>
    <t>5)Advertising Expenses</t>
  </si>
  <si>
    <t>Amt Spent (2022)</t>
  </si>
  <si>
    <t>$500 million</t>
  </si>
  <si>
    <t>Cost Increase</t>
  </si>
  <si>
    <t>New pool built</t>
  </si>
  <si>
    <t>New pool not built</t>
  </si>
  <si>
    <t>No investtment in new pool</t>
  </si>
  <si>
    <t>New pool built(higher than)</t>
  </si>
  <si>
    <t>6)Working Capital</t>
  </si>
  <si>
    <t>Accounts Recievables</t>
  </si>
  <si>
    <t>Inventory</t>
  </si>
  <si>
    <t>Accounts payable</t>
  </si>
  <si>
    <t>% of Revenue</t>
  </si>
  <si>
    <t>Total Revenue</t>
  </si>
  <si>
    <t>Account Recievables</t>
  </si>
  <si>
    <t>Accounts Payable</t>
  </si>
  <si>
    <t>Working Capital</t>
  </si>
  <si>
    <t>7)Side benefits</t>
  </si>
  <si>
    <t>Cost savings in current pool</t>
  </si>
  <si>
    <t>Rate of increase of cost savings</t>
  </si>
  <si>
    <t>Cost of Savings(in mil)</t>
  </si>
  <si>
    <t>Total costs (in million)</t>
  </si>
  <si>
    <t>Amt(in millions)</t>
  </si>
  <si>
    <t>Depreciation</t>
  </si>
  <si>
    <t>Salvage Value</t>
  </si>
  <si>
    <t>Amt Spent on research and code(in million)</t>
  </si>
  <si>
    <t>Total Revenue (in millions)</t>
  </si>
  <si>
    <t>4)After tax incremental expenses</t>
  </si>
  <si>
    <t>Total Revenue (in million)</t>
  </si>
  <si>
    <t>Taxable income (in million)</t>
  </si>
  <si>
    <t>Tax (in million)</t>
  </si>
  <si>
    <t>After- Tax (in million)</t>
  </si>
  <si>
    <t xml:space="preserve">Tax </t>
  </si>
  <si>
    <t>Net Present Value &amp; Internal rate of return</t>
  </si>
  <si>
    <t>The project is terminated at the end of the 10th year and both working capital and investments in other assets are sold for book value</t>
  </si>
  <si>
    <t>Salvage value of infrastructure</t>
  </si>
  <si>
    <t>Value of Server</t>
  </si>
  <si>
    <t>Amt(in mil $)</t>
  </si>
  <si>
    <t>Cost of Capital</t>
  </si>
  <si>
    <t>Working capital at the beginning of 10th year (In millions)</t>
  </si>
  <si>
    <t>Working capital at the end of 10th year (In millions)</t>
  </si>
  <si>
    <t>Total Cash Valued</t>
  </si>
  <si>
    <t>Discounting factor (v)</t>
  </si>
  <si>
    <t xml:space="preserve">Total expenses </t>
  </si>
  <si>
    <t>Expenses ( 2022)</t>
  </si>
  <si>
    <t>Research &amp; Develpoment costs (in mil)</t>
  </si>
  <si>
    <t>Cost of Infrastructure (in mil)</t>
  </si>
  <si>
    <t>Advertising Costs (in mil)</t>
  </si>
  <si>
    <t>General &amp; Administrative costs (in mil)</t>
  </si>
  <si>
    <t>Working Capital (in  mil)</t>
  </si>
  <si>
    <t>Cost saving due to Alternium (in mil)</t>
  </si>
  <si>
    <t xml:space="preserve">Total Expenses </t>
  </si>
  <si>
    <t>Time</t>
  </si>
  <si>
    <t>Discounting Factor</t>
  </si>
  <si>
    <t>Present Value</t>
  </si>
  <si>
    <t>Net Present Value</t>
  </si>
  <si>
    <t>Net Present Value Profile</t>
  </si>
  <si>
    <t>Internal Rate of Return</t>
  </si>
  <si>
    <t>IRR</t>
  </si>
  <si>
    <t>NPV</t>
  </si>
  <si>
    <t xml:space="preserve">Additional Revenue for the year 2032 </t>
  </si>
  <si>
    <t>After -Tax  value (in million)</t>
  </si>
  <si>
    <t>Add:</t>
  </si>
  <si>
    <t>Value of server</t>
  </si>
  <si>
    <t>Sale of infrastructure</t>
  </si>
  <si>
    <t>5%(next 10 years)</t>
  </si>
  <si>
    <t>25 years</t>
  </si>
  <si>
    <t>2047(After 25 years)</t>
  </si>
  <si>
    <t>Analysis  : 2022-2047 (25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</si>
</sst>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[$$-C09]#,##0.00"/>
    <numFmt numFmtId="166" formatCode="[$$-C09]#,##0.000"/>
    <numFmt numFmtId="167" formatCode="_-[$$-409]* #,##0.00_ ;_-[$$-409]* \-#,##0.00\ ;_-[$$-409]* &quot;-&quot;??_ ;_-@_ "/>
    <numFmt numFmtId="168" formatCode="0.0000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rgb="FFC0000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rgb="FF002060"/>
      <name val="Monotype Corsiva"/>
      <family val="4"/>
    </font>
    <font>
      <sz val="26"/>
      <color rgb="FF002060"/>
      <name val="Monotype Corsiva"/>
      <family val="4"/>
    </font>
    <font>
      <sz val="11"/>
      <color rgb="FF002060"/>
      <name val="Monotype Corsiva"/>
      <family val="4"/>
    </font>
    <font>
      <sz val="22"/>
      <color rgb="FF002060"/>
      <name val="Monotype Corsiva"/>
      <family val="4"/>
    </font>
    <font>
      <sz val="11"/>
      <color theme="1" tint="0.14999847407452621"/>
      <name val="Sitka Heading"/>
    </font>
    <font>
      <sz val="14"/>
      <color theme="1" tint="0.14999847407452621"/>
      <name val="Sitka Heading"/>
    </font>
    <font>
      <sz val="11"/>
      <color theme="1"/>
      <name val="Sanskrit Text"/>
      <family val="1"/>
    </font>
    <font>
      <sz val="14"/>
      <color theme="1" tint="0.14999847407452621"/>
      <name val="Garamond"/>
      <family val="1"/>
    </font>
    <font>
      <sz val="11"/>
      <color theme="1"/>
      <name val="Garamond"/>
      <family val="1"/>
    </font>
    <font>
      <sz val="24"/>
      <color theme="1"/>
      <name val="Algerian"/>
      <family val="5"/>
    </font>
    <font>
      <sz val="14"/>
      <color theme="1"/>
      <name val="Bahnschrift SemiLight"/>
      <family val="2"/>
    </font>
    <font>
      <sz val="26"/>
      <color rgb="FFC00000"/>
      <name val="Vivaldi"/>
      <family val="4"/>
    </font>
    <font>
      <sz val="12"/>
      <color theme="1"/>
      <name val="Bell MT"/>
      <family val="1"/>
    </font>
    <font>
      <sz val="11"/>
      <color theme="1"/>
      <name val="Leelawadee UI"/>
      <family val="2"/>
    </font>
    <font>
      <sz val="28"/>
      <color rgb="FFC00000"/>
      <name val="Vivaldi"/>
      <family val="4"/>
    </font>
    <font>
      <sz val="28"/>
      <color rgb="FFC00000"/>
      <name val="Calibri"/>
      <family val="2"/>
      <scheme val="minor"/>
    </font>
    <font>
      <sz val="14"/>
      <color theme="1"/>
      <name val="Constantia"/>
      <family val="1"/>
    </font>
    <font>
      <sz val="16"/>
      <color theme="1"/>
      <name val="Constantia"/>
      <family val="1"/>
    </font>
    <font>
      <sz val="22"/>
      <color theme="1"/>
      <name val="Britannic Bold"/>
      <family val="2"/>
    </font>
    <font>
      <sz val="12"/>
      <color theme="1"/>
      <name val="Constantia"/>
      <family val="1"/>
    </font>
    <font>
      <sz val="11"/>
      <color theme="1"/>
      <name val="Constantia"/>
      <family val="1"/>
    </font>
    <font>
      <sz val="11"/>
      <color theme="1" tint="0.34998626667073579"/>
      <name val="Sitka Heading"/>
    </font>
    <font>
      <sz val="14"/>
      <color theme="1" tint="0.34998626667073579"/>
      <name val="Sitka Heading"/>
    </font>
    <font>
      <sz val="20"/>
      <color theme="1"/>
      <name val="Algerian"/>
      <family val="5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/>
    <xf numFmtId="164" fontId="0" fillId="0" borderId="0" xfId="0" applyNumberFormat="1"/>
    <xf numFmtId="0" fontId="11" fillId="0" borderId="1" xfId="0" applyFont="1" applyBorder="1"/>
    <xf numFmtId="0" fontId="12" fillId="0" borderId="1" xfId="0" applyFont="1" applyBorder="1"/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/>
    <xf numFmtId="0" fontId="15" fillId="3" borderId="1" xfId="3" applyFont="1" applyBorder="1" applyAlignment="1">
      <alignment horizontal="center" vertical="center"/>
    </xf>
    <xf numFmtId="0" fontId="0" fillId="3" borderId="1" xfId="3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1" fillId="4" borderId="1" xfId="4" applyNumberForma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0" fillId="0" borderId="0" xfId="0" applyAlignment="1"/>
    <xf numFmtId="166" fontId="15" fillId="0" borderId="1" xfId="0" applyNumberFormat="1" applyFont="1" applyBorder="1" applyAlignment="1">
      <alignment horizontal="center" vertical="center"/>
    </xf>
    <xf numFmtId="167" fontId="0" fillId="4" borderId="1" xfId="4" applyNumberFormat="1" applyFont="1" applyBorder="1" applyAlignment="1">
      <alignment horizontal="center" vertical="center"/>
    </xf>
    <xf numFmtId="165" fontId="0" fillId="4" borderId="1" xfId="4" applyNumberFormat="1" applyFont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5" fontId="15" fillId="6" borderId="1" xfId="0" applyNumberFormat="1" applyFont="1" applyFill="1" applyBorder="1" applyAlignment="1">
      <alignment horizontal="center" vertical="center"/>
    </xf>
    <xf numFmtId="166" fontId="15" fillId="6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19" fillId="0" borderId="1" xfId="0" applyFont="1" applyBorder="1"/>
    <xf numFmtId="9" fontId="0" fillId="0" borderId="0" xfId="0" applyNumberFormat="1"/>
    <xf numFmtId="2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15" fillId="7" borderId="1" xfId="0" applyNumberFormat="1" applyFont="1" applyFill="1" applyBorder="1" applyAlignment="1">
      <alignment horizontal="center" vertical="center"/>
    </xf>
    <xf numFmtId="164" fontId="15" fillId="7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5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15" fillId="7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0" fillId="9" borderId="1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23" fillId="0" borderId="0" xfId="0" applyFont="1" applyAlignment="1">
      <alignment horizontal="left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27" fillId="0" borderId="0" xfId="0" applyFont="1" applyAlignment="1">
      <alignment vertical="center"/>
    </xf>
    <xf numFmtId="0" fontId="26" fillId="10" borderId="1" xfId="0" applyFont="1" applyFill="1" applyBorder="1" applyAlignment="1">
      <alignment vertical="center"/>
    </xf>
    <xf numFmtId="0" fontId="0" fillId="10" borderId="0" xfId="0" applyFill="1"/>
    <xf numFmtId="10" fontId="0" fillId="10" borderId="0" xfId="0" applyNumberFormat="1" applyFill="1"/>
    <xf numFmtId="0" fontId="28" fillId="0" borderId="1" xfId="0" applyFont="1" applyBorder="1"/>
    <xf numFmtId="0" fontId="29" fillId="0" borderId="1" xfId="0" applyFont="1" applyBorder="1"/>
    <xf numFmtId="9" fontId="29" fillId="0" borderId="1" xfId="0" applyNumberFormat="1" applyFont="1" applyBorder="1"/>
    <xf numFmtId="164" fontId="20" fillId="0" borderId="1" xfId="0" applyNumberFormat="1" applyFont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24" fillId="0" borderId="0" xfId="0" applyFont="1" applyAlignment="1">
      <alignment vertical="center"/>
    </xf>
    <xf numFmtId="168" fontId="0" fillId="0" borderId="1" xfId="0" applyNumberFormat="1" applyBorder="1" applyAlignment="1">
      <alignment horizontal="center" vertical="center"/>
    </xf>
    <xf numFmtId="10" fontId="6" fillId="0" borderId="0" xfId="0" applyNumberFormat="1" applyFont="1"/>
    <xf numFmtId="2" fontId="30" fillId="11" borderId="1" xfId="5" applyNumberFormat="1" applyFont="1" applyBorder="1" applyAlignment="1">
      <alignment horizontal="center"/>
    </xf>
    <xf numFmtId="0" fontId="30" fillId="11" borderId="1" xfId="5" applyFont="1" applyBorder="1" applyAlignment="1">
      <alignment horizontal="center"/>
    </xf>
    <xf numFmtId="0" fontId="17" fillId="8" borderId="0" xfId="0" applyFont="1" applyFill="1" applyAlignment="1">
      <alignment horizontal="center" vertical="center"/>
    </xf>
    <xf numFmtId="0" fontId="16" fillId="5" borderId="1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9" borderId="5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9" fontId="24" fillId="0" borderId="0" xfId="1" applyFont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24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2" applyAlignment="1">
      <alignment horizontal="center"/>
    </xf>
    <xf numFmtId="0" fontId="0" fillId="0" borderId="0" xfId="0" applyBorder="1" applyAlignment="1">
      <alignment horizontal="center" vertical="center"/>
    </xf>
    <xf numFmtId="0" fontId="16" fillId="5" borderId="2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6" fillId="5" borderId="5" xfId="0" applyFont="1" applyFill="1" applyBorder="1" applyAlignment="1">
      <alignment horizontal="center"/>
    </xf>
    <xf numFmtId="0" fontId="16" fillId="5" borderId="6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16" fillId="5" borderId="8" xfId="0" applyFont="1" applyFill="1" applyBorder="1" applyAlignment="1">
      <alignment horizontal="center"/>
    </xf>
  </cellXfs>
  <cellStyles count="6">
    <cellStyle name="20% - Accent2" xfId="5" builtinId="34"/>
    <cellStyle name="20% - Accent5" xfId="4" builtinId="46"/>
    <cellStyle name="40% - Accent4" xfId="3" builtinId="43"/>
    <cellStyle name="Good" xfId="2" builtinId="26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66"/>
      <color rgb="FF800080"/>
      <color rgb="FF000099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'NPV &amp; IRR'!$B$50</c:f>
              <c:strCache>
                <c:ptCount val="1"/>
                <c:pt idx="0">
                  <c:v>Cost of Capital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'NPV &amp; IRR'!$B$51:$B$53</c:f>
              <c:numCache>
                <c:formatCode>General</c:formatCode>
                <c:ptCount val="3"/>
                <c:pt idx="0">
                  <c:v>0.08</c:v>
                </c:pt>
                <c:pt idx="1">
                  <c:v>0.11</c:v>
                </c:pt>
                <c:pt idx="2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7-4472-96E1-0E5214FBB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63039"/>
        <c:axId val="130763871"/>
      </c:barChart>
      <c:lineChart>
        <c:grouping val="standard"/>
        <c:varyColors val="0"/>
        <c:ser>
          <c:idx val="1"/>
          <c:order val="1"/>
          <c:tx>
            <c:strRef>
              <c:f>'NPV &amp; IRR'!$C$50</c:f>
              <c:strCache>
                <c:ptCount val="1"/>
                <c:pt idx="0">
                  <c:v>Net Present Value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'NPV &amp; IRR'!$C$51:$C$53</c:f>
              <c:numCache>
                <c:formatCode>General</c:formatCode>
                <c:ptCount val="3"/>
                <c:pt idx="0">
                  <c:v>30490.328000000001</c:v>
                </c:pt>
                <c:pt idx="1">
                  <c:v>25782.575000000001</c:v>
                </c:pt>
                <c:pt idx="2">
                  <c:v>20898.375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87-4472-96E1-0E5214FBB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184015"/>
        <c:axId val="130762207"/>
      </c:lineChart>
      <c:catAx>
        <c:axId val="13076303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63871"/>
        <c:crosses val="autoZero"/>
        <c:auto val="1"/>
        <c:lblAlgn val="ctr"/>
        <c:lblOffset val="100"/>
        <c:noMultiLvlLbl val="0"/>
      </c:catAx>
      <c:valAx>
        <c:axId val="13076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63039"/>
        <c:crosses val="autoZero"/>
        <c:crossBetween val="between"/>
      </c:valAx>
      <c:valAx>
        <c:axId val="130762207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184015"/>
        <c:crosses val="max"/>
        <c:crossBetween val="between"/>
      </c:valAx>
      <c:catAx>
        <c:axId val="619184015"/>
        <c:scaling>
          <c:orientation val="minMax"/>
        </c:scaling>
        <c:delete val="1"/>
        <c:axPos val="b"/>
        <c:majorTickMark val="none"/>
        <c:minorTickMark val="none"/>
        <c:tickLblPos val="nextTo"/>
        <c:crossAx val="1307622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118</xdr:row>
      <xdr:rowOff>163287</xdr:rowOff>
    </xdr:from>
    <xdr:to>
      <xdr:col>4</xdr:col>
      <xdr:colOff>1496786</xdr:colOff>
      <xdr:row>122</xdr:row>
      <xdr:rowOff>18143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44D398A-1E0A-4BBE-9D5A-F44EA3641DBA}"/>
            </a:ext>
          </a:extLst>
        </xdr:cNvPr>
        <xdr:cNvSpPr txBox="1"/>
      </xdr:nvSpPr>
      <xdr:spPr>
        <a:xfrm>
          <a:off x="607786" y="17997716"/>
          <a:ext cx="7166429" cy="58057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So after the year</a:t>
          </a:r>
          <a:r>
            <a:rPr lang="en-IN" sz="1100" baseline="0"/>
            <a:t> 2025 a new server will have to be set up for the rest of the population but the value will have increased in 2026 due to inflation</a:t>
          </a:r>
          <a:endParaRPr lang="en-I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1419678</xdr:colOff>
      <xdr:row>48</xdr:row>
      <xdr:rowOff>156937</xdr:rowOff>
    </xdr:from>
    <xdr:to>
      <xdr:col>8</xdr:col>
      <xdr:colOff>449036</xdr:colOff>
      <xdr:row>63</xdr:row>
      <xdr:rowOff>178708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ACC261-8638-4823-AA5C-D12FF1440F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598714</xdr:colOff>
      <xdr:row>54</xdr:row>
      <xdr:rowOff>172357</xdr:rowOff>
    </xdr:from>
    <xdr:to>
      <xdr:col>3</xdr:col>
      <xdr:colOff>889000</xdr:colOff>
      <xdr:row>57</xdr:row>
      <xdr:rowOff>9072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F07CC0E-CB84-4FEE-9C73-013E2EEEA14D}"/>
            </a:ext>
          </a:extLst>
        </xdr:cNvPr>
        <xdr:cNvSpPr txBox="1"/>
      </xdr:nvSpPr>
      <xdr:spPr>
        <a:xfrm>
          <a:off x="598714" y="11892643"/>
          <a:ext cx="4689929" cy="381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So we can see that as the rate</a:t>
          </a:r>
          <a:r>
            <a:rPr lang="en-IN" sz="1100" baseline="0"/>
            <a:t> of interest increases the NPVs value falls</a:t>
          </a:r>
        </a:p>
        <a:p>
          <a:endParaRPr lang="en-IN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179</xdr:row>
      <xdr:rowOff>163287</xdr:rowOff>
    </xdr:from>
    <xdr:to>
      <xdr:col>4</xdr:col>
      <xdr:colOff>1496786</xdr:colOff>
      <xdr:row>183</xdr:row>
      <xdr:rowOff>18143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CB1C94C-54C4-471F-9922-0AD0738530D3}"/>
            </a:ext>
          </a:extLst>
        </xdr:cNvPr>
        <xdr:cNvSpPr txBox="1"/>
      </xdr:nvSpPr>
      <xdr:spPr>
        <a:xfrm>
          <a:off x="609600" y="22953437"/>
          <a:ext cx="7459436" cy="59145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 will require a new server in 2025, 2033, 2037, 2041, 2042,2045 and 2046 as the number of participants in these years exceed the capacity of the server.</a:t>
          </a:r>
          <a:r>
            <a:rPr lang="en-IN"/>
            <a:t> </a:t>
          </a:r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755A6-8930-4CED-B617-138B2C6304E7}">
  <dimension ref="A2:R254"/>
  <sheetViews>
    <sheetView tabSelected="1" zoomScaleNormal="100" workbookViewId="0">
      <selection activeCell="D64" sqref="D64"/>
    </sheetView>
  </sheetViews>
  <sheetFormatPr defaultRowHeight="14.5" x14ac:dyDescent="0.35"/>
  <cols>
    <col min="2" max="2" width="39.54296875" customWidth="1"/>
    <col min="3" max="3" width="22.453125" customWidth="1"/>
    <col min="4" max="5" width="23.36328125" customWidth="1"/>
    <col min="6" max="6" width="19.26953125" customWidth="1"/>
    <col min="7" max="7" width="18.81640625" customWidth="1"/>
    <col min="8" max="8" width="13.6328125" bestFit="1" customWidth="1"/>
    <col min="9" max="9" width="15.36328125" customWidth="1"/>
    <col min="10" max="10" width="19.08984375" bestFit="1" customWidth="1"/>
    <col min="11" max="11" width="34.7265625" customWidth="1"/>
    <col min="12" max="12" width="13.453125" bestFit="1" customWidth="1"/>
    <col min="14" max="14" width="8.90625" customWidth="1"/>
    <col min="15" max="15" width="14" bestFit="1" customWidth="1"/>
    <col min="16" max="16" width="19.08984375" bestFit="1" customWidth="1"/>
    <col min="17" max="17" width="14.54296875" bestFit="1" customWidth="1"/>
    <col min="18" max="18" width="13.453125" bestFit="1" customWidth="1"/>
  </cols>
  <sheetData>
    <row r="2" spans="1:17" ht="14.5" customHeight="1" x14ac:dyDescent="0.85">
      <c r="B2" s="101" t="s">
        <v>0</v>
      </c>
      <c r="C2" s="101"/>
      <c r="D2" s="101"/>
      <c r="E2" s="101"/>
      <c r="F2" s="12"/>
      <c r="G2" s="12"/>
      <c r="H2" s="12"/>
      <c r="L2" s="12"/>
      <c r="M2" s="12"/>
      <c r="N2" s="12"/>
      <c r="O2" s="12"/>
      <c r="P2" s="12"/>
      <c r="Q2" s="12"/>
    </row>
    <row r="3" spans="1:17" ht="14.5" customHeight="1" x14ac:dyDescent="0.85">
      <c r="B3" s="101"/>
      <c r="C3" s="101"/>
      <c r="D3" s="101"/>
      <c r="E3" s="101"/>
      <c r="F3" s="12"/>
      <c r="G3" s="12"/>
      <c r="H3" s="12"/>
      <c r="L3" s="12"/>
      <c r="M3" s="12"/>
      <c r="N3" s="12"/>
      <c r="O3" s="12"/>
      <c r="P3" s="12"/>
      <c r="Q3" s="12"/>
    </row>
    <row r="4" spans="1:17" x14ac:dyDescent="0.35">
      <c r="B4" s="2"/>
      <c r="C4" s="2"/>
      <c r="D4" s="2"/>
      <c r="E4" s="2"/>
      <c r="F4" s="2"/>
      <c r="G4" s="2"/>
      <c r="H4" s="2"/>
      <c r="L4" s="2"/>
      <c r="M4" s="2"/>
      <c r="N4" s="2"/>
      <c r="O4" s="2"/>
      <c r="P4" s="2"/>
      <c r="Q4" s="2"/>
    </row>
    <row r="5" spans="1:17" ht="14.5" customHeight="1" x14ac:dyDescent="0.6">
      <c r="B5" s="102" t="s">
        <v>32</v>
      </c>
      <c r="C5" s="102"/>
      <c r="D5" s="102"/>
      <c r="E5" s="102"/>
      <c r="F5" s="13"/>
      <c r="G5" s="13"/>
      <c r="H5" s="13"/>
      <c r="L5" s="13"/>
      <c r="M5" s="13"/>
      <c r="N5" s="13"/>
      <c r="O5" s="13"/>
      <c r="P5" s="2"/>
      <c r="Q5" s="2"/>
    </row>
    <row r="6" spans="1:17" ht="14.5" customHeight="1" x14ac:dyDescent="0.6">
      <c r="A6" s="1"/>
      <c r="B6" s="102"/>
      <c r="C6" s="102"/>
      <c r="D6" s="102"/>
      <c r="E6" s="102"/>
      <c r="F6" s="13"/>
      <c r="G6" s="13"/>
      <c r="H6" s="13"/>
      <c r="L6" s="13"/>
      <c r="M6" s="13"/>
      <c r="N6" s="13"/>
      <c r="O6" s="13"/>
      <c r="P6" s="2"/>
      <c r="Q6" s="2"/>
    </row>
    <row r="7" spans="1:17" x14ac:dyDescent="0.35">
      <c r="B7" s="2"/>
      <c r="C7" s="2"/>
      <c r="D7" s="2"/>
      <c r="E7" s="2"/>
      <c r="F7" s="2"/>
      <c r="G7" s="2"/>
      <c r="H7" s="2"/>
      <c r="L7" s="2"/>
      <c r="M7" s="2"/>
      <c r="N7" s="2"/>
      <c r="O7" s="2"/>
      <c r="P7" s="2"/>
      <c r="Q7" s="2"/>
    </row>
    <row r="8" spans="1:17" ht="24" x14ac:dyDescent="0.6">
      <c r="B8" s="102" t="s">
        <v>35</v>
      </c>
      <c r="C8" s="102"/>
      <c r="D8" s="102"/>
      <c r="E8" s="102"/>
    </row>
    <row r="10" spans="1:17" x14ac:dyDescent="0.35">
      <c r="B10" s="88" t="s">
        <v>13</v>
      </c>
      <c r="C10" s="89"/>
      <c r="D10" s="89"/>
      <c r="E10" s="89"/>
      <c r="F10" s="89"/>
      <c r="G10" s="89"/>
      <c r="H10" s="89"/>
    </row>
    <row r="11" spans="1:17" x14ac:dyDescent="0.35">
      <c r="B11" s="89"/>
      <c r="C11" s="89"/>
      <c r="D11" s="89"/>
      <c r="E11" s="89"/>
      <c r="F11" s="89"/>
      <c r="G11" s="89"/>
      <c r="H11" s="89"/>
    </row>
    <row r="13" spans="1:17" ht="22.5" x14ac:dyDescent="0.65">
      <c r="B13" s="4"/>
      <c r="C13" s="5" t="s">
        <v>5</v>
      </c>
      <c r="D13" s="5" t="s">
        <v>3</v>
      </c>
      <c r="E13" s="5" t="s">
        <v>4</v>
      </c>
    </row>
    <row r="14" spans="1:17" ht="22.5" x14ac:dyDescent="0.65">
      <c r="B14" s="5" t="s">
        <v>1</v>
      </c>
      <c r="C14" s="5" t="s">
        <v>6</v>
      </c>
      <c r="D14" s="5" t="s">
        <v>8</v>
      </c>
      <c r="E14" s="5" t="s">
        <v>8</v>
      </c>
    </row>
    <row r="15" spans="1:17" ht="22.5" x14ac:dyDescent="0.65">
      <c r="B15" s="5" t="s">
        <v>2</v>
      </c>
      <c r="C15" s="5" t="s">
        <v>7</v>
      </c>
      <c r="D15" s="5" t="s">
        <v>9</v>
      </c>
      <c r="E15" s="5" t="s">
        <v>10</v>
      </c>
    </row>
    <row r="17" spans="1:11" ht="18" x14ac:dyDescent="0.35">
      <c r="B17" s="94" t="s">
        <v>15</v>
      </c>
      <c r="C17" s="94"/>
      <c r="D17" s="94"/>
      <c r="F17" s="94" t="s">
        <v>14</v>
      </c>
      <c r="G17" s="94"/>
      <c r="H17" s="94"/>
      <c r="J17" s="94" t="s">
        <v>17</v>
      </c>
      <c r="K17" s="94"/>
    </row>
    <row r="18" spans="1:11" x14ac:dyDescent="0.35">
      <c r="A18" s="95"/>
      <c r="B18" s="95"/>
      <c r="C18" s="95"/>
      <c r="D18" s="95"/>
      <c r="E18" s="95"/>
      <c r="F18" s="95"/>
    </row>
    <row r="19" spans="1:11" x14ac:dyDescent="0.35">
      <c r="B19" s="10" t="s">
        <v>12</v>
      </c>
      <c r="C19" s="10" t="s">
        <v>3</v>
      </c>
      <c r="D19" s="10" t="s">
        <v>4</v>
      </c>
      <c r="F19" s="10" t="s">
        <v>12</v>
      </c>
      <c r="G19" s="10" t="s">
        <v>3</v>
      </c>
      <c r="H19" s="10" t="s">
        <v>4</v>
      </c>
      <c r="J19" s="10" t="s">
        <v>12</v>
      </c>
      <c r="K19" s="15" t="s">
        <v>16</v>
      </c>
    </row>
    <row r="20" spans="1:11" x14ac:dyDescent="0.35">
      <c r="B20" s="8">
        <v>2022</v>
      </c>
      <c r="C20" s="9">
        <v>45</v>
      </c>
      <c r="D20" s="9">
        <v>45</v>
      </c>
      <c r="F20" s="8">
        <v>2022</v>
      </c>
      <c r="G20" s="9">
        <v>30</v>
      </c>
      <c r="H20" s="9">
        <v>30</v>
      </c>
      <c r="J20" s="8">
        <v>2022</v>
      </c>
      <c r="K20" s="17">
        <v>0</v>
      </c>
    </row>
    <row r="21" spans="1:11" x14ac:dyDescent="0.35">
      <c r="B21" s="8">
        <v>2023</v>
      </c>
      <c r="C21" s="9">
        <f>C20*(1+5%)</f>
        <v>47.25</v>
      </c>
      <c r="D21" s="9">
        <f>D20*(1+5%)</f>
        <v>47.25</v>
      </c>
      <c r="F21" s="8">
        <v>2023</v>
      </c>
      <c r="G21" s="9">
        <f>G20*(1+8%)</f>
        <v>32.400000000000006</v>
      </c>
      <c r="H21" s="9">
        <f>H20*(1+10%)</f>
        <v>33</v>
      </c>
      <c r="J21" s="8">
        <v>2023</v>
      </c>
      <c r="K21" s="9">
        <v>5</v>
      </c>
    </row>
    <row r="22" spans="1:11" x14ac:dyDescent="0.35">
      <c r="B22" s="8">
        <v>2024</v>
      </c>
      <c r="C22" s="9">
        <f t="shared" ref="C22:C29" si="0">C21*(1+5%)</f>
        <v>49.612500000000004</v>
      </c>
      <c r="D22" s="9">
        <f t="shared" ref="D22:D29" si="1">D21*(1+5%)</f>
        <v>49.612500000000004</v>
      </c>
      <c r="F22" s="8">
        <v>2024</v>
      </c>
      <c r="G22" s="9">
        <f t="shared" ref="G22:G30" si="2">G21*(1+8%)</f>
        <v>34.992000000000012</v>
      </c>
      <c r="H22" s="9">
        <f t="shared" ref="H22:H30" si="3">H21*(1+10%)</f>
        <v>36.300000000000004</v>
      </c>
      <c r="J22" s="8">
        <v>2024</v>
      </c>
      <c r="K22" s="9">
        <f>K21*(1+8%)</f>
        <v>5.4</v>
      </c>
    </row>
    <row r="23" spans="1:11" x14ac:dyDescent="0.35">
      <c r="B23" s="8">
        <v>2025</v>
      </c>
      <c r="C23" s="9">
        <f t="shared" si="0"/>
        <v>52.093125000000008</v>
      </c>
      <c r="D23" s="9">
        <f t="shared" si="1"/>
        <v>52.093125000000008</v>
      </c>
      <c r="F23" s="8">
        <v>2025</v>
      </c>
      <c r="G23" s="9">
        <f t="shared" si="2"/>
        <v>37.791360000000012</v>
      </c>
      <c r="H23" s="9">
        <f t="shared" si="3"/>
        <v>39.930000000000007</v>
      </c>
      <c r="J23" s="8">
        <v>2025</v>
      </c>
      <c r="K23" s="9">
        <f t="shared" ref="K23:K30" si="4">K22*(1+8%)</f>
        <v>5.8320000000000007</v>
      </c>
    </row>
    <row r="24" spans="1:11" x14ac:dyDescent="0.35">
      <c r="B24" s="8">
        <v>2026</v>
      </c>
      <c r="C24" s="9">
        <f t="shared" si="0"/>
        <v>54.697781250000013</v>
      </c>
      <c r="D24" s="9">
        <f t="shared" si="1"/>
        <v>54.697781250000013</v>
      </c>
      <c r="F24" s="8">
        <v>2026</v>
      </c>
      <c r="G24" s="9">
        <f t="shared" si="2"/>
        <v>40.814668800000014</v>
      </c>
      <c r="H24" s="9">
        <f t="shared" si="3"/>
        <v>43.923000000000009</v>
      </c>
      <c r="J24" s="8">
        <v>2026</v>
      </c>
      <c r="K24" s="9">
        <f t="shared" si="4"/>
        <v>6.298560000000001</v>
      </c>
    </row>
    <row r="25" spans="1:11" x14ac:dyDescent="0.35">
      <c r="B25" s="8">
        <v>2027</v>
      </c>
      <c r="C25" s="9">
        <f t="shared" si="0"/>
        <v>57.432670312500015</v>
      </c>
      <c r="D25" s="9">
        <f t="shared" si="1"/>
        <v>57.432670312500015</v>
      </c>
      <c r="F25" s="8">
        <v>2027</v>
      </c>
      <c r="G25" s="9">
        <f t="shared" si="2"/>
        <v>44.079842304000017</v>
      </c>
      <c r="H25" s="9">
        <f t="shared" si="3"/>
        <v>48.315300000000015</v>
      </c>
      <c r="J25" s="8">
        <v>2027</v>
      </c>
      <c r="K25" s="9">
        <f t="shared" si="4"/>
        <v>6.8024448000000017</v>
      </c>
    </row>
    <row r="26" spans="1:11" x14ac:dyDescent="0.35">
      <c r="B26" s="8">
        <v>2028</v>
      </c>
      <c r="C26" s="9">
        <f t="shared" si="0"/>
        <v>60.304303828125022</v>
      </c>
      <c r="D26" s="9">
        <f t="shared" si="1"/>
        <v>60.304303828125022</v>
      </c>
      <c r="F26" s="8">
        <v>2028</v>
      </c>
      <c r="G26" s="9">
        <f t="shared" si="2"/>
        <v>47.60622968832002</v>
      </c>
      <c r="H26" s="9">
        <f t="shared" si="3"/>
        <v>53.146830000000023</v>
      </c>
      <c r="J26" s="8">
        <v>2028</v>
      </c>
      <c r="K26" s="9">
        <f t="shared" si="4"/>
        <v>7.3466403840000023</v>
      </c>
    </row>
    <row r="27" spans="1:11" x14ac:dyDescent="0.35">
      <c r="B27" s="8">
        <v>2029</v>
      </c>
      <c r="C27" s="9">
        <f t="shared" si="0"/>
        <v>63.319519019531278</v>
      </c>
      <c r="D27" s="9">
        <f t="shared" si="1"/>
        <v>63.319519019531278</v>
      </c>
      <c r="F27" s="8">
        <v>2029</v>
      </c>
      <c r="G27" s="9">
        <f t="shared" si="2"/>
        <v>51.414728063385624</v>
      </c>
      <c r="H27" s="9">
        <f t="shared" si="3"/>
        <v>58.461513000000032</v>
      </c>
      <c r="J27" s="8">
        <v>2029</v>
      </c>
      <c r="K27" s="9">
        <f t="shared" si="4"/>
        <v>7.9343716147200034</v>
      </c>
    </row>
    <row r="28" spans="1:11" x14ac:dyDescent="0.35">
      <c r="B28" s="8">
        <v>2030</v>
      </c>
      <c r="C28" s="9">
        <f t="shared" si="0"/>
        <v>66.485494970507844</v>
      </c>
      <c r="D28" s="9">
        <f t="shared" si="1"/>
        <v>66.485494970507844</v>
      </c>
      <c r="F28" s="8">
        <v>2030</v>
      </c>
      <c r="G28" s="9">
        <f t="shared" si="2"/>
        <v>55.52790630845648</v>
      </c>
      <c r="H28" s="9">
        <f t="shared" si="3"/>
        <v>64.307664300000042</v>
      </c>
      <c r="J28" s="8">
        <v>2030</v>
      </c>
      <c r="K28" s="9">
        <f t="shared" si="4"/>
        <v>8.5691213438976046</v>
      </c>
    </row>
    <row r="29" spans="1:11" x14ac:dyDescent="0.35">
      <c r="B29" s="8">
        <v>2031</v>
      </c>
      <c r="C29" s="9">
        <f t="shared" si="0"/>
        <v>69.809769719033241</v>
      </c>
      <c r="D29" s="9">
        <f t="shared" si="1"/>
        <v>69.809769719033241</v>
      </c>
      <c r="F29" s="8">
        <v>2031</v>
      </c>
      <c r="G29" s="9">
        <f t="shared" si="2"/>
        <v>59.970138813133005</v>
      </c>
      <c r="H29" s="9">
        <f t="shared" si="3"/>
        <v>70.738430730000047</v>
      </c>
      <c r="J29" s="8">
        <v>2031</v>
      </c>
      <c r="K29" s="9">
        <f t="shared" si="4"/>
        <v>9.2546510514094145</v>
      </c>
    </row>
    <row r="30" spans="1:11" x14ac:dyDescent="0.35">
      <c r="B30" s="8">
        <v>2032</v>
      </c>
      <c r="C30" s="9">
        <f t="shared" ref="C30" si="5">C29*(1+5%)</f>
        <v>73.3002582049849</v>
      </c>
      <c r="D30" s="9">
        <f t="shared" ref="D30" si="6">D29*(1+5%)</f>
        <v>73.3002582049849</v>
      </c>
      <c r="F30" s="8">
        <v>2032</v>
      </c>
      <c r="G30" s="9">
        <f t="shared" si="2"/>
        <v>64.767749918183654</v>
      </c>
      <c r="H30" s="9">
        <f t="shared" si="3"/>
        <v>77.812273803000053</v>
      </c>
      <c r="J30" s="8">
        <v>2032</v>
      </c>
      <c r="K30" s="9">
        <f t="shared" si="4"/>
        <v>9.9950231355221675</v>
      </c>
    </row>
    <row r="32" spans="1:11" x14ac:dyDescent="0.35">
      <c r="B32" s="88" t="s">
        <v>18</v>
      </c>
      <c r="C32" s="89"/>
      <c r="D32" s="89"/>
      <c r="E32" s="89"/>
      <c r="F32" s="89"/>
      <c r="G32" s="89"/>
      <c r="H32" s="89"/>
    </row>
    <row r="33" spans="2:18" x14ac:dyDescent="0.35">
      <c r="B33" s="89"/>
      <c r="C33" s="89"/>
      <c r="D33" s="89"/>
      <c r="E33" s="89"/>
      <c r="F33" s="89"/>
      <c r="G33" s="89"/>
      <c r="H33" s="89"/>
    </row>
    <row r="35" spans="2:18" ht="19" x14ac:dyDescent="0.35">
      <c r="B35" s="100" t="s">
        <v>19</v>
      </c>
      <c r="C35" s="100"/>
      <c r="D35" s="100"/>
      <c r="E35" s="23">
        <v>100</v>
      </c>
    </row>
    <row r="36" spans="2:18" ht="19" x14ac:dyDescent="0.35">
      <c r="B36" s="100" t="s">
        <v>20</v>
      </c>
      <c r="C36" s="100"/>
      <c r="D36" s="100"/>
      <c r="E36" s="23">
        <v>36</v>
      </c>
    </row>
    <row r="37" spans="2:18" ht="19" x14ac:dyDescent="0.35">
      <c r="B37" s="100" t="s">
        <v>21</v>
      </c>
      <c r="C37" s="100"/>
      <c r="D37" s="100"/>
      <c r="E37" s="23" t="s">
        <v>27</v>
      </c>
    </row>
    <row r="38" spans="2:18" x14ac:dyDescent="0.35">
      <c r="B38" s="16"/>
      <c r="C38" s="16"/>
      <c r="D38" s="16"/>
      <c r="E38" s="16"/>
    </row>
    <row r="39" spans="2:18" ht="19" x14ac:dyDescent="0.35">
      <c r="B39" s="103" t="s">
        <v>22</v>
      </c>
      <c r="C39" s="103"/>
      <c r="D39" s="103"/>
      <c r="E39" s="16"/>
    </row>
    <row r="40" spans="2:18" x14ac:dyDescent="0.35">
      <c r="B40" s="17" t="s">
        <v>24</v>
      </c>
      <c r="C40" s="22">
        <v>50</v>
      </c>
      <c r="D40" s="17" t="s">
        <v>23</v>
      </c>
      <c r="E40" s="23">
        <v>28.8</v>
      </c>
    </row>
    <row r="41" spans="2:18" x14ac:dyDescent="0.35">
      <c r="B41" s="16"/>
      <c r="C41" s="16"/>
      <c r="D41" s="16"/>
      <c r="E41" s="16"/>
    </row>
    <row r="42" spans="2:18" ht="19" x14ac:dyDescent="0.35">
      <c r="B42" s="100" t="s">
        <v>25</v>
      </c>
      <c r="C42" s="100"/>
      <c r="D42" s="100"/>
      <c r="E42" s="18">
        <v>1.4999999999999999E-2</v>
      </c>
    </row>
    <row r="43" spans="2:18" x14ac:dyDescent="0.35">
      <c r="B43" s="16"/>
      <c r="C43" s="16"/>
      <c r="D43" s="16"/>
      <c r="E43" s="16"/>
    </row>
    <row r="44" spans="2:18" ht="18" x14ac:dyDescent="0.35">
      <c r="C44" s="94" t="s">
        <v>15</v>
      </c>
      <c r="D44" s="94"/>
      <c r="E44" s="94"/>
      <c r="J44" s="94" t="s">
        <v>14</v>
      </c>
      <c r="K44" s="94"/>
      <c r="L44" s="94"/>
      <c r="O44" s="6" t="s">
        <v>17</v>
      </c>
      <c r="P44" s="6"/>
    </row>
    <row r="45" spans="2:18" x14ac:dyDescent="0.35">
      <c r="B45" s="95"/>
      <c r="C45" s="95"/>
      <c r="D45" s="95"/>
      <c r="E45" s="95"/>
      <c r="F45" s="95"/>
      <c r="G45" s="95"/>
    </row>
    <row r="46" spans="2:18" x14ac:dyDescent="0.35">
      <c r="B46" s="14" t="s">
        <v>12</v>
      </c>
      <c r="C46" s="14" t="s">
        <v>4</v>
      </c>
      <c r="D46" s="14" t="s">
        <v>26</v>
      </c>
      <c r="E46" s="14" t="s">
        <v>23</v>
      </c>
      <c r="F46" s="14" t="s">
        <v>28</v>
      </c>
      <c r="G46" s="16"/>
      <c r="H46" s="15" t="s">
        <v>12</v>
      </c>
      <c r="I46" s="10" t="s">
        <v>4</v>
      </c>
      <c r="J46" s="14" t="s">
        <v>26</v>
      </c>
      <c r="K46" s="14" t="s">
        <v>23</v>
      </c>
      <c r="L46" s="14" t="s">
        <v>28</v>
      </c>
      <c r="M46" s="16"/>
      <c r="N46" s="10" t="s">
        <v>12</v>
      </c>
      <c r="O46" s="15" t="s">
        <v>16</v>
      </c>
      <c r="P46" s="14" t="s">
        <v>26</v>
      </c>
      <c r="Q46" s="14" t="s">
        <v>23</v>
      </c>
      <c r="R46" s="14" t="s">
        <v>28</v>
      </c>
    </row>
    <row r="47" spans="2:18" x14ac:dyDescent="0.35">
      <c r="B47" s="8">
        <v>2022</v>
      </c>
      <c r="C47" s="9">
        <v>45</v>
      </c>
      <c r="D47" s="9">
        <f>E35</f>
        <v>100</v>
      </c>
      <c r="E47" s="9">
        <f>E36</f>
        <v>36</v>
      </c>
      <c r="F47" s="9">
        <f>C47*(D47-E47)</f>
        <v>2880</v>
      </c>
      <c r="G47" s="16"/>
      <c r="H47" s="8">
        <v>2022</v>
      </c>
      <c r="I47" s="9">
        <v>30</v>
      </c>
      <c r="J47" s="21">
        <f>E35</f>
        <v>100</v>
      </c>
      <c r="K47" s="19">
        <f>E36</f>
        <v>36</v>
      </c>
      <c r="L47" s="21">
        <f>I47*(J47-K47)</f>
        <v>1920</v>
      </c>
      <c r="M47" s="16"/>
      <c r="N47" s="8">
        <v>2022</v>
      </c>
      <c r="O47" s="17">
        <v>0</v>
      </c>
      <c r="P47" s="21">
        <f>C40</f>
        <v>50</v>
      </c>
      <c r="Q47" s="19">
        <f>E40</f>
        <v>28.8</v>
      </c>
      <c r="R47" s="21">
        <f>O47*(P47-Q47)</f>
        <v>0</v>
      </c>
    </row>
    <row r="48" spans="2:18" x14ac:dyDescent="0.35">
      <c r="B48" s="8">
        <v>2023</v>
      </c>
      <c r="C48" s="9">
        <f>C47*(1+5%)</f>
        <v>47.25</v>
      </c>
      <c r="D48" s="9">
        <f>D47*(1+$E$42)</f>
        <v>101.49999999999999</v>
      </c>
      <c r="E48" s="9">
        <f>E47*(1+$E$42)</f>
        <v>36.54</v>
      </c>
      <c r="F48" s="9">
        <f t="shared" ref="F48:F57" si="7">C48*(D48-E48)</f>
        <v>3069.3599999999992</v>
      </c>
      <c r="G48" s="16"/>
      <c r="H48" s="8">
        <v>2023</v>
      </c>
      <c r="I48" s="9">
        <f>I47*(1+10%)</f>
        <v>33</v>
      </c>
      <c r="J48" s="21">
        <f>J47*(1+$E$42)</f>
        <v>101.49999999999999</v>
      </c>
      <c r="K48" s="19">
        <f>K47*(1+$E$42)</f>
        <v>36.54</v>
      </c>
      <c r="L48" s="21">
        <f t="shared" ref="L48:L57" si="8">I48*(J48-K48)</f>
        <v>2143.6799999999994</v>
      </c>
      <c r="M48" s="16"/>
      <c r="N48" s="8">
        <v>2023</v>
      </c>
      <c r="O48" s="9">
        <v>5</v>
      </c>
      <c r="P48" s="21">
        <f>P47*(1+$E$42)</f>
        <v>50.749999999999993</v>
      </c>
      <c r="Q48" s="19">
        <f>Q47*(1+$E$42)</f>
        <v>29.231999999999999</v>
      </c>
      <c r="R48" s="21">
        <f t="shared" ref="R48:R57" si="9">O48*(P48-Q48)</f>
        <v>107.58999999999997</v>
      </c>
    </row>
    <row r="49" spans="2:18" x14ac:dyDescent="0.35">
      <c r="B49" s="8">
        <v>2024</v>
      </c>
      <c r="C49" s="9">
        <f t="shared" ref="C49:C57" si="10">C48*(1+5%)</f>
        <v>49.612500000000004</v>
      </c>
      <c r="D49" s="9">
        <f t="shared" ref="D49:D57" si="11">D48*(1+$E$42)</f>
        <v>103.02249999999998</v>
      </c>
      <c r="E49" s="9">
        <f t="shared" ref="E49:E57" si="12">E48*(1+$E$42)</f>
        <v>37.088099999999997</v>
      </c>
      <c r="F49" s="9">
        <f t="shared" si="7"/>
        <v>3271.1704199999995</v>
      </c>
      <c r="G49" s="16"/>
      <c r="H49" s="8">
        <v>2024</v>
      </c>
      <c r="I49" s="9">
        <f t="shared" ref="I49:I57" si="13">I48*(1+10%)</f>
        <v>36.300000000000004</v>
      </c>
      <c r="J49" s="21">
        <f t="shared" ref="J49:J57" si="14">J48*(1+$E$42)</f>
        <v>103.02249999999998</v>
      </c>
      <c r="K49" s="19">
        <f t="shared" ref="K49:K57" si="15">K48*(1+$E$42)</f>
        <v>37.088099999999997</v>
      </c>
      <c r="L49" s="21">
        <f t="shared" si="8"/>
        <v>2393.4187199999997</v>
      </c>
      <c r="M49" s="16"/>
      <c r="N49" s="8">
        <v>2024</v>
      </c>
      <c r="O49" s="9">
        <f>O48*(1+8%)</f>
        <v>5.4</v>
      </c>
      <c r="P49" s="21">
        <f t="shared" ref="P49:P57" si="16">P48*(1+$E$42)</f>
        <v>51.51124999999999</v>
      </c>
      <c r="Q49" s="19">
        <f t="shared" ref="Q49:Q57" si="17">Q48*(1+$E$42)</f>
        <v>29.670479999999998</v>
      </c>
      <c r="R49" s="21">
        <f t="shared" si="9"/>
        <v>117.94015799999997</v>
      </c>
    </row>
    <row r="50" spans="2:18" x14ac:dyDescent="0.35">
      <c r="B50" s="8">
        <v>2025</v>
      </c>
      <c r="C50" s="9">
        <f t="shared" si="10"/>
        <v>52.093125000000008</v>
      </c>
      <c r="D50" s="9">
        <f t="shared" si="11"/>
        <v>104.56783749999997</v>
      </c>
      <c r="E50" s="9">
        <f t="shared" si="12"/>
        <v>37.644421499999993</v>
      </c>
      <c r="F50" s="9">
        <f t="shared" si="7"/>
        <v>3486.2498751149992</v>
      </c>
      <c r="G50" s="16"/>
      <c r="H50" s="8">
        <v>2025</v>
      </c>
      <c r="I50" s="9">
        <f t="shared" si="13"/>
        <v>39.930000000000007</v>
      </c>
      <c r="J50" s="21">
        <f t="shared" si="14"/>
        <v>104.56783749999997</v>
      </c>
      <c r="K50" s="19">
        <f t="shared" si="15"/>
        <v>37.644421499999993</v>
      </c>
      <c r="L50" s="21">
        <f t="shared" si="8"/>
        <v>2672.2520008799993</v>
      </c>
      <c r="M50" s="16"/>
      <c r="N50" s="8">
        <v>2025</v>
      </c>
      <c r="O50" s="9">
        <f t="shared" ref="O50:O57" si="18">O49*(1+8%)</f>
        <v>5.8320000000000007</v>
      </c>
      <c r="P50" s="21">
        <f t="shared" si="16"/>
        <v>52.283918749999984</v>
      </c>
      <c r="Q50" s="19">
        <f t="shared" si="17"/>
        <v>30.115537199999995</v>
      </c>
      <c r="R50" s="21">
        <f t="shared" si="9"/>
        <v>129.28600119959995</v>
      </c>
    </row>
    <row r="51" spans="2:18" x14ac:dyDescent="0.35">
      <c r="B51" s="8">
        <v>2026</v>
      </c>
      <c r="C51" s="9">
        <f t="shared" si="10"/>
        <v>54.697781250000013</v>
      </c>
      <c r="D51" s="9">
        <f t="shared" si="11"/>
        <v>106.13635506249996</v>
      </c>
      <c r="E51" s="9">
        <f t="shared" si="12"/>
        <v>38.209087822499988</v>
      </c>
      <c r="F51" s="9">
        <f t="shared" si="7"/>
        <v>3715.4708044038102</v>
      </c>
      <c r="G51" s="16"/>
      <c r="H51" s="8">
        <v>2026</v>
      </c>
      <c r="I51" s="9">
        <f t="shared" si="13"/>
        <v>43.923000000000009</v>
      </c>
      <c r="J51" s="21">
        <f t="shared" si="14"/>
        <v>106.13635506249996</v>
      </c>
      <c r="K51" s="19">
        <f t="shared" si="15"/>
        <v>38.209087822499988</v>
      </c>
      <c r="L51" s="21">
        <f t="shared" si="8"/>
        <v>2983.5693589825191</v>
      </c>
      <c r="M51" s="16"/>
      <c r="N51" s="8">
        <v>2026</v>
      </c>
      <c r="O51" s="9">
        <f t="shared" si="18"/>
        <v>6.298560000000001</v>
      </c>
      <c r="P51" s="21">
        <f t="shared" si="16"/>
        <v>53.068177531249979</v>
      </c>
      <c r="Q51" s="19">
        <f t="shared" si="17"/>
        <v>30.567270257999994</v>
      </c>
      <c r="R51" s="21">
        <f t="shared" si="9"/>
        <v>141.72331451500145</v>
      </c>
    </row>
    <row r="52" spans="2:18" x14ac:dyDescent="0.35">
      <c r="B52" s="8">
        <v>2027</v>
      </c>
      <c r="C52" s="9">
        <f t="shared" si="10"/>
        <v>57.432670312500015</v>
      </c>
      <c r="D52" s="9">
        <f t="shared" si="11"/>
        <v>107.72840038843745</v>
      </c>
      <c r="E52" s="9">
        <f t="shared" si="12"/>
        <v>38.782224139837481</v>
      </c>
      <c r="F52" s="9">
        <f t="shared" si="7"/>
        <v>3959.7630097933611</v>
      </c>
      <c r="G52" s="16"/>
      <c r="H52" s="8">
        <v>2027</v>
      </c>
      <c r="I52" s="9">
        <f t="shared" si="13"/>
        <v>48.315300000000015</v>
      </c>
      <c r="J52" s="21">
        <f t="shared" si="14"/>
        <v>107.72840038843745</v>
      </c>
      <c r="K52" s="19">
        <f t="shared" si="15"/>
        <v>38.782224139837481</v>
      </c>
      <c r="L52" s="21">
        <f t="shared" si="8"/>
        <v>3331.1551893039832</v>
      </c>
      <c r="M52" s="16"/>
      <c r="N52" s="8">
        <v>2027</v>
      </c>
      <c r="O52" s="9">
        <f t="shared" si="18"/>
        <v>6.8024448000000017</v>
      </c>
      <c r="P52" s="21">
        <f t="shared" si="16"/>
        <v>53.864200194218725</v>
      </c>
      <c r="Q52" s="19">
        <f t="shared" si="17"/>
        <v>31.025779311869989</v>
      </c>
      <c r="R52" s="21">
        <f t="shared" si="9"/>
        <v>155.35709737134459</v>
      </c>
    </row>
    <row r="53" spans="2:18" x14ac:dyDescent="0.35">
      <c r="B53" s="8">
        <v>2028</v>
      </c>
      <c r="C53" s="9">
        <f t="shared" si="10"/>
        <v>60.304303828125022</v>
      </c>
      <c r="D53" s="9">
        <f t="shared" si="11"/>
        <v>109.344326394264</v>
      </c>
      <c r="E53" s="9">
        <f t="shared" si="12"/>
        <v>39.36395750193504</v>
      </c>
      <c r="F53" s="9">
        <f t="shared" si="7"/>
        <v>4220.1174276872744</v>
      </c>
      <c r="G53" s="16"/>
      <c r="H53" s="8">
        <v>2028</v>
      </c>
      <c r="I53" s="9">
        <f t="shared" si="13"/>
        <v>53.146830000000023</v>
      </c>
      <c r="J53" s="21">
        <f t="shared" si="14"/>
        <v>109.344326394264</v>
      </c>
      <c r="K53" s="19">
        <f t="shared" si="15"/>
        <v>39.36395750193504</v>
      </c>
      <c r="L53" s="21">
        <f t="shared" si="8"/>
        <v>3719.2347688578966</v>
      </c>
      <c r="M53" s="16"/>
      <c r="N53" s="8">
        <v>2028</v>
      </c>
      <c r="O53" s="9">
        <f t="shared" si="18"/>
        <v>7.3466403840000023</v>
      </c>
      <c r="P53" s="21">
        <f t="shared" si="16"/>
        <v>54.672163197132001</v>
      </c>
      <c r="Q53" s="19">
        <f t="shared" si="17"/>
        <v>31.491166001548038</v>
      </c>
      <c r="R53" s="21">
        <f t="shared" si="9"/>
        <v>170.30245013846795</v>
      </c>
    </row>
    <row r="54" spans="2:18" x14ac:dyDescent="0.35">
      <c r="B54" s="8">
        <v>2029</v>
      </c>
      <c r="C54" s="9">
        <f t="shared" si="10"/>
        <v>63.319519019531278</v>
      </c>
      <c r="D54" s="9">
        <f t="shared" si="11"/>
        <v>110.98449129017796</v>
      </c>
      <c r="E54" s="9">
        <f t="shared" si="12"/>
        <v>39.954416864464065</v>
      </c>
      <c r="F54" s="9">
        <f t="shared" si="7"/>
        <v>4497.5901485577133</v>
      </c>
      <c r="G54" s="16"/>
      <c r="H54" s="8">
        <v>2029</v>
      </c>
      <c r="I54" s="9">
        <f t="shared" si="13"/>
        <v>58.461513000000032</v>
      </c>
      <c r="J54" s="21">
        <f t="shared" si="14"/>
        <v>110.98449129017796</v>
      </c>
      <c r="K54" s="19">
        <f t="shared" si="15"/>
        <v>39.954416864464065</v>
      </c>
      <c r="L54" s="21">
        <f t="shared" si="8"/>
        <v>4152.5256194298427</v>
      </c>
      <c r="M54" s="16"/>
      <c r="N54" s="8">
        <v>2029</v>
      </c>
      <c r="O54" s="9">
        <f t="shared" si="18"/>
        <v>7.9343716147200034</v>
      </c>
      <c r="P54" s="21">
        <f t="shared" si="16"/>
        <v>55.492245645088978</v>
      </c>
      <c r="Q54" s="19">
        <f t="shared" si="17"/>
        <v>31.963533491571255</v>
      </c>
      <c r="R54" s="21">
        <f t="shared" si="9"/>
        <v>186.68554584178858</v>
      </c>
    </row>
    <row r="55" spans="2:18" x14ac:dyDescent="0.35">
      <c r="B55" s="8">
        <v>2030</v>
      </c>
      <c r="C55" s="9">
        <f t="shared" si="10"/>
        <v>66.485494970507844</v>
      </c>
      <c r="D55" s="9">
        <f t="shared" si="11"/>
        <v>112.64925865953062</v>
      </c>
      <c r="E55" s="9">
        <f t="shared" si="12"/>
        <v>40.553733117431022</v>
      </c>
      <c r="F55" s="9">
        <f t="shared" si="7"/>
        <v>4793.306700825382</v>
      </c>
      <c r="G55" s="16"/>
      <c r="H55" s="8">
        <v>2030</v>
      </c>
      <c r="I55" s="9">
        <f t="shared" si="13"/>
        <v>64.307664300000042</v>
      </c>
      <c r="J55" s="21">
        <f t="shared" si="14"/>
        <v>112.64925865953062</v>
      </c>
      <c r="K55" s="19">
        <f t="shared" si="15"/>
        <v>40.553733117431022</v>
      </c>
      <c r="L55" s="21">
        <f t="shared" si="8"/>
        <v>4636.2948540934194</v>
      </c>
      <c r="M55" s="16"/>
      <c r="N55" s="8">
        <v>2030</v>
      </c>
      <c r="O55" s="9">
        <f t="shared" si="18"/>
        <v>8.5691213438976046</v>
      </c>
      <c r="P55" s="21">
        <f t="shared" si="16"/>
        <v>56.324629329765308</v>
      </c>
      <c r="Q55" s="19">
        <f t="shared" si="17"/>
        <v>32.442986493944822</v>
      </c>
      <c r="R55" s="21">
        <f t="shared" si="9"/>
        <v>204.64469535176863</v>
      </c>
    </row>
    <row r="56" spans="2:18" x14ac:dyDescent="0.35">
      <c r="B56" s="8">
        <v>2031</v>
      </c>
      <c r="C56" s="9">
        <f t="shared" si="10"/>
        <v>69.809769719033241</v>
      </c>
      <c r="D56" s="9">
        <f t="shared" si="11"/>
        <v>114.33899753942356</v>
      </c>
      <c r="E56" s="9">
        <f t="shared" si="12"/>
        <v>41.162039114192481</v>
      </c>
      <c r="F56" s="9">
        <f t="shared" si="7"/>
        <v>5108.4666164046512</v>
      </c>
      <c r="G56" s="16"/>
      <c r="H56" s="8">
        <v>2031</v>
      </c>
      <c r="I56" s="9">
        <f t="shared" si="13"/>
        <v>70.738430730000047</v>
      </c>
      <c r="J56" s="21">
        <f t="shared" si="14"/>
        <v>114.33899753942356</v>
      </c>
      <c r="K56" s="19">
        <f t="shared" si="15"/>
        <v>41.162039114192481</v>
      </c>
      <c r="L56" s="21">
        <f t="shared" si="8"/>
        <v>5176.4232045953022</v>
      </c>
      <c r="M56" s="16"/>
      <c r="N56" s="8">
        <v>2031</v>
      </c>
      <c r="O56" s="9">
        <f t="shared" si="18"/>
        <v>9.2546510514094145</v>
      </c>
      <c r="P56" s="21">
        <f t="shared" si="16"/>
        <v>57.16949876971178</v>
      </c>
      <c r="Q56" s="19">
        <f t="shared" si="17"/>
        <v>32.929631291353992</v>
      </c>
      <c r="R56" s="21">
        <f t="shared" si="9"/>
        <v>224.33151504460878</v>
      </c>
    </row>
    <row r="57" spans="2:18" x14ac:dyDescent="0.35">
      <c r="B57" s="24">
        <v>2032</v>
      </c>
      <c r="C57" s="25">
        <f t="shared" si="10"/>
        <v>73.3002582049849</v>
      </c>
      <c r="D57" s="25">
        <f t="shared" si="11"/>
        <v>116.0540825025149</v>
      </c>
      <c r="E57" s="25">
        <f t="shared" si="12"/>
        <v>41.779469700905366</v>
      </c>
      <c r="F57" s="25">
        <f t="shared" si="7"/>
        <v>5444.3482964332561</v>
      </c>
      <c r="G57" s="16"/>
      <c r="H57" s="24">
        <v>2032</v>
      </c>
      <c r="I57" s="25">
        <f t="shared" si="13"/>
        <v>77.812273803000053</v>
      </c>
      <c r="J57" s="27">
        <f t="shared" si="14"/>
        <v>116.0540825025149</v>
      </c>
      <c r="K57" s="26">
        <f t="shared" si="15"/>
        <v>41.779469700905366</v>
      </c>
      <c r="L57" s="27">
        <f t="shared" si="8"/>
        <v>5779.4765079306544</v>
      </c>
      <c r="M57" s="16"/>
      <c r="N57" s="24">
        <v>2032</v>
      </c>
      <c r="O57" s="25">
        <f t="shared" si="18"/>
        <v>9.9950231355221675</v>
      </c>
      <c r="P57" s="27">
        <f t="shared" si="16"/>
        <v>58.027041251257451</v>
      </c>
      <c r="Q57" s="26">
        <f t="shared" si="17"/>
        <v>33.423575760724297</v>
      </c>
      <c r="R57" s="27">
        <f t="shared" si="9"/>
        <v>245.91220679190013</v>
      </c>
    </row>
    <row r="59" spans="2:18" ht="14.5" customHeight="1" x14ac:dyDescent="0.35">
      <c r="B59" s="87" t="s">
        <v>29</v>
      </c>
      <c r="C59" s="87"/>
      <c r="D59" s="84">
        <f>SUM(C63:C73)</f>
        <v>85037.646507548547</v>
      </c>
    </row>
    <row r="60" spans="2:18" ht="14.5" customHeight="1" x14ac:dyDescent="0.35">
      <c r="B60" s="87"/>
      <c r="C60" s="87"/>
      <c r="D60" s="85"/>
    </row>
    <row r="62" spans="2:18" x14ac:dyDescent="0.35">
      <c r="B62" s="48" t="s">
        <v>12</v>
      </c>
      <c r="C62" s="48" t="s">
        <v>92</v>
      </c>
    </row>
    <row r="63" spans="2:18" x14ac:dyDescent="0.35">
      <c r="B63" s="17">
        <v>2022</v>
      </c>
      <c r="C63" s="58">
        <f t="shared" ref="C63:C73" si="19">F47+L47+R47</f>
        <v>4800</v>
      </c>
    </row>
    <row r="64" spans="2:18" x14ac:dyDescent="0.35">
      <c r="B64" s="17">
        <v>2023</v>
      </c>
      <c r="C64" s="58">
        <f t="shared" si="19"/>
        <v>5320.6299999999992</v>
      </c>
    </row>
    <row r="65" spans="2:9" x14ac:dyDescent="0.35">
      <c r="B65" s="17">
        <v>2024</v>
      </c>
      <c r="C65" s="58">
        <f t="shared" si="19"/>
        <v>5782.5292979999995</v>
      </c>
    </row>
    <row r="66" spans="2:9" x14ac:dyDescent="0.35">
      <c r="B66" s="17">
        <v>2025</v>
      </c>
      <c r="C66" s="58">
        <f t="shared" si="19"/>
        <v>6287.787877194598</v>
      </c>
    </row>
    <row r="67" spans="2:9" x14ac:dyDescent="0.35">
      <c r="B67" s="17">
        <v>2026</v>
      </c>
      <c r="C67" s="58">
        <f t="shared" si="19"/>
        <v>6840.7634779013306</v>
      </c>
    </row>
    <row r="68" spans="2:9" x14ac:dyDescent="0.35">
      <c r="B68" s="17">
        <v>2027</v>
      </c>
      <c r="C68" s="58">
        <f t="shared" si="19"/>
        <v>7446.2752964686897</v>
      </c>
    </row>
    <row r="69" spans="2:9" x14ac:dyDescent="0.35">
      <c r="B69" s="17">
        <v>2028</v>
      </c>
      <c r="C69" s="58">
        <f t="shared" si="19"/>
        <v>8109.6546466836389</v>
      </c>
    </row>
    <row r="70" spans="2:9" ht="14.5" customHeight="1" x14ac:dyDescent="0.35">
      <c r="B70" s="17">
        <v>2029</v>
      </c>
      <c r="C70" s="58">
        <f t="shared" si="19"/>
        <v>8836.8013138293445</v>
      </c>
    </row>
    <row r="71" spans="2:9" ht="14.5" customHeight="1" x14ac:dyDescent="0.35">
      <c r="B71" s="17">
        <v>2030</v>
      </c>
      <c r="C71" s="58">
        <f t="shared" si="19"/>
        <v>9634.2462502705694</v>
      </c>
    </row>
    <row r="72" spans="2:9" ht="14.5" customHeight="1" x14ac:dyDescent="0.35">
      <c r="B72" s="17">
        <v>2031</v>
      </c>
      <c r="C72" s="58">
        <f t="shared" si="19"/>
        <v>10509.221336044562</v>
      </c>
      <c r="F72" s="20"/>
    </row>
    <row r="73" spans="2:9" ht="14.5" customHeight="1" x14ac:dyDescent="0.35">
      <c r="B73" s="17">
        <v>2032</v>
      </c>
      <c r="C73" s="58">
        <f t="shared" si="19"/>
        <v>11469.73701115581</v>
      </c>
      <c r="F73" s="20"/>
    </row>
    <row r="76" spans="2:9" x14ac:dyDescent="0.35">
      <c r="C76" s="98" t="s">
        <v>30</v>
      </c>
      <c r="D76" s="99"/>
      <c r="E76" s="99"/>
      <c r="F76" s="99"/>
      <c r="G76" s="99"/>
      <c r="H76" s="99"/>
      <c r="I76" s="99"/>
    </row>
    <row r="77" spans="2:9" x14ac:dyDescent="0.35">
      <c r="C77" s="99"/>
      <c r="D77" s="99"/>
      <c r="E77" s="99"/>
      <c r="F77" s="99"/>
      <c r="G77" s="99"/>
      <c r="H77" s="99"/>
      <c r="I77" s="99"/>
    </row>
    <row r="79" spans="2:9" ht="14.5" customHeight="1" x14ac:dyDescent="0.35">
      <c r="B79" s="86" t="s">
        <v>31</v>
      </c>
      <c r="C79" s="86"/>
    </row>
    <row r="80" spans="2:9" ht="14.5" customHeight="1" x14ac:dyDescent="0.35">
      <c r="B80" s="86"/>
      <c r="C80" s="86"/>
    </row>
    <row r="82" spans="2:5" ht="15.5" x14ac:dyDescent="0.35">
      <c r="B82" s="29" t="s">
        <v>91</v>
      </c>
      <c r="C82" s="51">
        <v>150</v>
      </c>
    </row>
    <row r="84" spans="2:5" x14ac:dyDescent="0.35">
      <c r="B84" s="86" t="s">
        <v>33</v>
      </c>
      <c r="C84" s="86"/>
    </row>
    <row r="85" spans="2:5" x14ac:dyDescent="0.35">
      <c r="B85" s="86"/>
      <c r="C85" s="86"/>
    </row>
    <row r="87" spans="2:5" ht="15.5" x14ac:dyDescent="0.35">
      <c r="B87" s="55" t="s">
        <v>34</v>
      </c>
      <c r="C87" s="55" t="s">
        <v>36</v>
      </c>
      <c r="D87" s="28"/>
      <c r="E87" s="28"/>
    </row>
    <row r="88" spans="2:5" ht="15.5" x14ac:dyDescent="0.35">
      <c r="B88" s="55" t="s">
        <v>37</v>
      </c>
      <c r="C88" s="55" t="s">
        <v>38</v>
      </c>
      <c r="D88" s="28"/>
      <c r="E88" s="28"/>
    </row>
    <row r="89" spans="2:5" ht="15.5" x14ac:dyDescent="0.35">
      <c r="B89" s="56" t="s">
        <v>39</v>
      </c>
      <c r="C89" s="56" t="s">
        <v>40</v>
      </c>
      <c r="D89" s="28"/>
      <c r="E89" s="28"/>
    </row>
    <row r="90" spans="2:5" ht="15.5" x14ac:dyDescent="0.35">
      <c r="B90" s="28"/>
      <c r="C90" s="28"/>
      <c r="D90" s="28"/>
      <c r="E90" s="28"/>
    </row>
    <row r="91" spans="2:5" ht="15.5" x14ac:dyDescent="0.35">
      <c r="B91" s="28" t="s">
        <v>41</v>
      </c>
      <c r="C91" s="28"/>
      <c r="D91" s="28"/>
      <c r="E91" s="28"/>
    </row>
    <row r="92" spans="2:5" ht="15.5" x14ac:dyDescent="0.35">
      <c r="B92" s="55" t="s">
        <v>42</v>
      </c>
      <c r="C92" s="56">
        <f>(1000-200)/10</f>
        <v>80</v>
      </c>
      <c r="D92" s="28"/>
      <c r="E92" s="28"/>
    </row>
    <row r="93" spans="2:5" ht="15.5" x14ac:dyDescent="0.35">
      <c r="B93" s="55" t="s">
        <v>43</v>
      </c>
      <c r="C93" s="55">
        <f>C92*10</f>
        <v>800</v>
      </c>
      <c r="D93" s="28"/>
      <c r="E93" s="28"/>
    </row>
    <row r="94" spans="2:5" ht="15.5" x14ac:dyDescent="0.35">
      <c r="B94" s="57"/>
      <c r="C94" s="57"/>
      <c r="D94" s="28"/>
      <c r="E94" s="28"/>
    </row>
    <row r="95" spans="2:5" x14ac:dyDescent="0.35">
      <c r="B95" s="48" t="s">
        <v>12</v>
      </c>
      <c r="C95" s="48" t="s">
        <v>88</v>
      </c>
      <c r="D95" s="48" t="s">
        <v>89</v>
      </c>
      <c r="E95" s="48" t="s">
        <v>90</v>
      </c>
    </row>
    <row r="96" spans="2:5" x14ac:dyDescent="0.35">
      <c r="B96" s="17">
        <v>2022</v>
      </c>
      <c r="C96" s="17">
        <v>1000</v>
      </c>
      <c r="D96" s="17">
        <v>0</v>
      </c>
      <c r="E96" s="17">
        <f>C96-D96</f>
        <v>1000</v>
      </c>
    </row>
    <row r="97" spans="2:10" x14ac:dyDescent="0.35">
      <c r="B97" s="17">
        <v>2023</v>
      </c>
      <c r="C97" s="17">
        <v>0</v>
      </c>
      <c r="D97" s="17">
        <v>80</v>
      </c>
      <c r="E97" s="17">
        <f>E96-D97</f>
        <v>920</v>
      </c>
    </row>
    <row r="98" spans="2:10" x14ac:dyDescent="0.35">
      <c r="B98" s="17">
        <v>2024</v>
      </c>
      <c r="C98" s="17">
        <v>0</v>
      </c>
      <c r="D98" s="17">
        <v>80</v>
      </c>
      <c r="E98" s="17">
        <f t="shared" ref="E98:E106" si="20">E97-D98</f>
        <v>840</v>
      </c>
    </row>
    <row r="99" spans="2:10" x14ac:dyDescent="0.35">
      <c r="B99" s="17">
        <v>2025</v>
      </c>
      <c r="C99" s="17">
        <v>0</v>
      </c>
      <c r="D99" s="17">
        <v>80</v>
      </c>
      <c r="E99" s="17">
        <f t="shared" si="20"/>
        <v>760</v>
      </c>
    </row>
    <row r="100" spans="2:10" x14ac:dyDescent="0.35">
      <c r="B100" s="17">
        <v>2026</v>
      </c>
      <c r="C100" s="17">
        <v>0</v>
      </c>
      <c r="D100" s="17">
        <v>80</v>
      </c>
      <c r="E100" s="17">
        <f t="shared" si="20"/>
        <v>680</v>
      </c>
    </row>
    <row r="101" spans="2:10" x14ac:dyDescent="0.35">
      <c r="B101" s="17">
        <v>2027</v>
      </c>
      <c r="C101" s="17">
        <v>0</v>
      </c>
      <c r="D101" s="17">
        <v>80</v>
      </c>
      <c r="E101" s="17">
        <f t="shared" si="20"/>
        <v>600</v>
      </c>
    </row>
    <row r="102" spans="2:10" x14ac:dyDescent="0.35">
      <c r="B102" s="17">
        <v>2028</v>
      </c>
      <c r="C102" s="17">
        <v>0</v>
      </c>
      <c r="D102" s="17">
        <v>80</v>
      </c>
      <c r="E102" s="17">
        <f t="shared" si="20"/>
        <v>520</v>
      </c>
    </row>
    <row r="103" spans="2:10" x14ac:dyDescent="0.35">
      <c r="B103" s="17">
        <v>2029</v>
      </c>
      <c r="C103" s="17">
        <v>0</v>
      </c>
      <c r="D103" s="17">
        <v>80</v>
      </c>
      <c r="E103" s="17">
        <f t="shared" si="20"/>
        <v>440</v>
      </c>
    </row>
    <row r="104" spans="2:10" ht="15" customHeight="1" x14ac:dyDescent="0.35">
      <c r="B104" s="17">
        <v>2030</v>
      </c>
      <c r="C104" s="17">
        <v>0</v>
      </c>
      <c r="D104" s="17">
        <v>80</v>
      </c>
      <c r="E104" s="17">
        <f t="shared" si="20"/>
        <v>360</v>
      </c>
    </row>
    <row r="105" spans="2:10" x14ac:dyDescent="0.35">
      <c r="B105" s="17">
        <v>2031</v>
      </c>
      <c r="C105" s="17">
        <v>0</v>
      </c>
      <c r="D105" s="17">
        <v>80</v>
      </c>
      <c r="E105" s="17">
        <f t="shared" si="20"/>
        <v>280</v>
      </c>
    </row>
    <row r="106" spans="2:10" x14ac:dyDescent="0.35">
      <c r="B106" s="17">
        <v>2032</v>
      </c>
      <c r="C106" s="17">
        <v>0</v>
      </c>
      <c r="D106" s="17">
        <v>80</v>
      </c>
      <c r="E106" s="17">
        <f t="shared" si="20"/>
        <v>200</v>
      </c>
    </row>
    <row r="107" spans="2:10" ht="15.5" x14ac:dyDescent="0.35">
      <c r="B107" s="57"/>
      <c r="C107" s="57"/>
      <c r="D107" s="28"/>
      <c r="E107" s="28"/>
    </row>
    <row r="109" spans="2:10" x14ac:dyDescent="0.35">
      <c r="B109" s="86" t="s">
        <v>44</v>
      </c>
      <c r="C109" s="86"/>
    </row>
    <row r="110" spans="2:10" ht="14.5" customHeight="1" x14ac:dyDescent="0.35">
      <c r="B110" s="86"/>
      <c r="C110" s="86"/>
      <c r="G110" s="96" t="s">
        <v>52</v>
      </c>
      <c r="H110" s="96"/>
      <c r="I110" s="96"/>
      <c r="J110" s="96"/>
    </row>
    <row r="111" spans="2:10" ht="14.5" customHeight="1" x14ac:dyDescent="0.35">
      <c r="G111" s="97"/>
      <c r="H111" s="97"/>
      <c r="I111" s="97"/>
      <c r="J111" s="97"/>
    </row>
    <row r="112" spans="2:10" x14ac:dyDescent="0.35">
      <c r="B112" s="95" t="s">
        <v>45</v>
      </c>
      <c r="C112" s="95"/>
      <c r="D112" s="95"/>
      <c r="G112" s="15" t="s">
        <v>12</v>
      </c>
      <c r="H112" s="10" t="s">
        <v>4</v>
      </c>
      <c r="I112" s="15" t="s">
        <v>16</v>
      </c>
      <c r="J112" s="15" t="s">
        <v>53</v>
      </c>
    </row>
    <row r="113" spans="2:10" x14ac:dyDescent="0.35">
      <c r="G113" s="33">
        <v>2022</v>
      </c>
      <c r="H113" s="9">
        <v>30</v>
      </c>
      <c r="I113" s="17">
        <v>0</v>
      </c>
      <c r="J113" s="32">
        <f>H113+I113</f>
        <v>30</v>
      </c>
    </row>
    <row r="114" spans="2:10" ht="16.5" x14ac:dyDescent="0.35">
      <c r="B114" s="44"/>
      <c r="C114" s="44" t="s">
        <v>47</v>
      </c>
      <c r="D114" s="44" t="s">
        <v>5</v>
      </c>
      <c r="E114" s="37"/>
      <c r="G114" s="33">
        <v>2023</v>
      </c>
      <c r="H114" s="9">
        <f>H113*(1+10%)</f>
        <v>33</v>
      </c>
      <c r="I114" s="9">
        <v>5</v>
      </c>
      <c r="J114" s="32">
        <f t="shared" ref="J114:J123" si="21">H114+I114</f>
        <v>38</v>
      </c>
    </row>
    <row r="115" spans="2:10" ht="16.5" x14ac:dyDescent="0.35">
      <c r="B115" s="44" t="s">
        <v>46</v>
      </c>
      <c r="C115" s="45">
        <v>0.65</v>
      </c>
      <c r="D115" s="44" t="s">
        <v>48</v>
      </c>
      <c r="E115" s="37"/>
      <c r="G115" s="33">
        <v>2024</v>
      </c>
      <c r="H115" s="9">
        <f t="shared" ref="H115:H123" si="22">H114*(1+10%)</f>
        <v>36.300000000000004</v>
      </c>
      <c r="I115" s="9">
        <f>I114*(1+8%)</f>
        <v>5.4</v>
      </c>
      <c r="J115" s="32">
        <f t="shared" si="21"/>
        <v>41.7</v>
      </c>
    </row>
    <row r="116" spans="2:10" ht="16.5" x14ac:dyDescent="0.35">
      <c r="B116" s="44" t="s">
        <v>49</v>
      </c>
      <c r="C116" s="44"/>
      <c r="D116" s="44">
        <f>77.812+9.995</f>
        <v>87.807000000000002</v>
      </c>
      <c r="E116" s="37" t="s">
        <v>51</v>
      </c>
      <c r="G116" s="34">
        <v>2025</v>
      </c>
      <c r="H116" s="35">
        <f t="shared" si="22"/>
        <v>39.930000000000007</v>
      </c>
      <c r="I116" s="35">
        <f t="shared" ref="I116:I123" si="23">I115*(1+8%)</f>
        <v>5.8320000000000007</v>
      </c>
      <c r="J116" s="36">
        <f t="shared" si="21"/>
        <v>45.762000000000008</v>
      </c>
    </row>
    <row r="117" spans="2:10" ht="16.5" x14ac:dyDescent="0.35">
      <c r="B117" s="37"/>
      <c r="C117" s="37"/>
      <c r="D117" s="37"/>
      <c r="E117" s="37"/>
      <c r="G117" s="33">
        <v>2026</v>
      </c>
      <c r="H117" s="9">
        <f t="shared" si="22"/>
        <v>43.923000000000009</v>
      </c>
      <c r="I117" s="9">
        <f t="shared" si="23"/>
        <v>6.298560000000001</v>
      </c>
      <c r="J117" s="32">
        <f t="shared" si="21"/>
        <v>50.221560000000011</v>
      </c>
    </row>
    <row r="118" spans="2:10" ht="16.5" x14ac:dyDescent="0.35">
      <c r="B118" s="37" t="s">
        <v>50</v>
      </c>
      <c r="C118" s="38">
        <f>30*100/65</f>
        <v>46.153846153846153</v>
      </c>
      <c r="D118" s="37"/>
      <c r="E118" s="37"/>
      <c r="G118" s="33">
        <v>2027</v>
      </c>
      <c r="H118" s="9">
        <f t="shared" si="22"/>
        <v>48.315300000000015</v>
      </c>
      <c r="I118" s="9">
        <f t="shared" si="23"/>
        <v>6.8024448000000017</v>
      </c>
      <c r="J118" s="32">
        <f t="shared" si="21"/>
        <v>55.117744800000018</v>
      </c>
    </row>
    <row r="119" spans="2:10" x14ac:dyDescent="0.35">
      <c r="C119" s="3"/>
      <c r="G119" s="33">
        <v>2028</v>
      </c>
      <c r="H119" s="9">
        <f t="shared" si="22"/>
        <v>53.146830000000023</v>
      </c>
      <c r="I119" s="9">
        <f t="shared" si="23"/>
        <v>7.3466403840000023</v>
      </c>
      <c r="J119" s="32">
        <f t="shared" si="21"/>
        <v>60.493470384000027</v>
      </c>
    </row>
    <row r="120" spans="2:10" x14ac:dyDescent="0.35">
      <c r="G120" s="33">
        <v>2029</v>
      </c>
      <c r="H120" s="9">
        <f t="shared" si="22"/>
        <v>58.461513000000032</v>
      </c>
      <c r="I120" s="9">
        <f t="shared" si="23"/>
        <v>7.9343716147200034</v>
      </c>
      <c r="J120" s="32">
        <f t="shared" si="21"/>
        <v>66.395884614720032</v>
      </c>
    </row>
    <row r="121" spans="2:10" x14ac:dyDescent="0.35">
      <c r="G121" s="33">
        <v>2030</v>
      </c>
      <c r="H121" s="9">
        <f t="shared" si="22"/>
        <v>64.307664300000042</v>
      </c>
      <c r="I121" s="9">
        <f t="shared" si="23"/>
        <v>8.5691213438976046</v>
      </c>
      <c r="J121" s="32">
        <f t="shared" si="21"/>
        <v>72.876785643897648</v>
      </c>
    </row>
    <row r="122" spans="2:10" x14ac:dyDescent="0.35">
      <c r="G122" s="33">
        <v>2031</v>
      </c>
      <c r="H122" s="9">
        <f t="shared" si="22"/>
        <v>70.738430730000047</v>
      </c>
      <c r="I122" s="9">
        <f t="shared" si="23"/>
        <v>9.2546510514094145</v>
      </c>
      <c r="J122" s="32">
        <f t="shared" si="21"/>
        <v>79.993081781409458</v>
      </c>
    </row>
    <row r="123" spans="2:10" x14ac:dyDescent="0.35">
      <c r="B123" s="39"/>
      <c r="C123" s="40"/>
      <c r="G123" s="33">
        <v>2032</v>
      </c>
      <c r="H123" s="9">
        <f t="shared" si="22"/>
        <v>77.812273803000053</v>
      </c>
      <c r="I123" s="9">
        <f t="shared" si="23"/>
        <v>9.9950231355221675</v>
      </c>
      <c r="J123" s="32">
        <f t="shared" si="21"/>
        <v>87.807296938522228</v>
      </c>
    </row>
    <row r="124" spans="2:10" x14ac:dyDescent="0.35">
      <c r="B124" s="15" t="s">
        <v>12</v>
      </c>
      <c r="C124" s="15" t="s">
        <v>54</v>
      </c>
    </row>
    <row r="125" spans="2:10" x14ac:dyDescent="0.35">
      <c r="B125" s="33">
        <v>2022</v>
      </c>
      <c r="C125" s="33">
        <v>600</v>
      </c>
    </row>
    <row r="126" spans="2:10" x14ac:dyDescent="0.35">
      <c r="B126" s="33">
        <v>2023</v>
      </c>
      <c r="C126" s="42">
        <f>C125*(1+1.5%)</f>
        <v>608.99999999999989</v>
      </c>
    </row>
    <row r="127" spans="2:10" x14ac:dyDescent="0.35">
      <c r="B127" s="33">
        <v>2024</v>
      </c>
      <c r="C127" s="42">
        <f t="shared" ref="C127:C135" si="24">C126*(1+1.5%)</f>
        <v>618.13499999999988</v>
      </c>
    </row>
    <row r="128" spans="2:10" x14ac:dyDescent="0.35">
      <c r="B128" s="41">
        <v>2025</v>
      </c>
      <c r="C128" s="42">
        <f t="shared" si="24"/>
        <v>627.40702499999986</v>
      </c>
    </row>
    <row r="129" spans="2:9" x14ac:dyDescent="0.35">
      <c r="B129" s="34">
        <v>2026</v>
      </c>
      <c r="C129" s="43">
        <f t="shared" si="24"/>
        <v>636.81813037499978</v>
      </c>
    </row>
    <row r="130" spans="2:9" x14ac:dyDescent="0.35">
      <c r="B130" s="17">
        <v>2027</v>
      </c>
      <c r="C130" s="50">
        <f t="shared" si="24"/>
        <v>646.37040233062476</v>
      </c>
    </row>
    <row r="131" spans="2:9" x14ac:dyDescent="0.35">
      <c r="B131" s="17">
        <v>2028</v>
      </c>
      <c r="C131" s="50">
        <f t="shared" si="24"/>
        <v>656.06595836558404</v>
      </c>
    </row>
    <row r="132" spans="2:9" x14ac:dyDescent="0.35">
      <c r="B132" s="17">
        <v>2029</v>
      </c>
      <c r="C132" s="50">
        <f t="shared" si="24"/>
        <v>665.90694774106771</v>
      </c>
    </row>
    <row r="133" spans="2:9" x14ac:dyDescent="0.35">
      <c r="B133" s="17">
        <v>2030</v>
      </c>
      <c r="C133" s="50">
        <f t="shared" si="24"/>
        <v>675.89555195718367</v>
      </c>
    </row>
    <row r="134" spans="2:9" x14ac:dyDescent="0.35">
      <c r="B134" s="17">
        <v>2031</v>
      </c>
      <c r="C134" s="50">
        <f t="shared" si="24"/>
        <v>686.03398523654141</v>
      </c>
    </row>
    <row r="135" spans="2:9" x14ac:dyDescent="0.35">
      <c r="B135" s="17">
        <v>2032</v>
      </c>
      <c r="C135" s="50">
        <f t="shared" si="24"/>
        <v>696.3244950150895</v>
      </c>
    </row>
    <row r="137" spans="2:9" ht="14.5" customHeight="1" x14ac:dyDescent="0.75">
      <c r="B137" s="86" t="s">
        <v>55</v>
      </c>
      <c r="C137" s="86"/>
      <c r="D137" s="46"/>
      <c r="E137" s="46"/>
      <c r="F137" s="46"/>
      <c r="G137" s="46"/>
      <c r="H137" s="46"/>
      <c r="I137" s="46"/>
    </row>
    <row r="138" spans="2:9" ht="14.5" customHeight="1" x14ac:dyDescent="0.75">
      <c r="B138" s="86"/>
      <c r="C138" s="86"/>
      <c r="D138" s="46"/>
      <c r="E138" s="46"/>
      <c r="F138" s="46"/>
      <c r="G138" s="46"/>
      <c r="H138" s="46"/>
      <c r="I138" s="46"/>
    </row>
    <row r="140" spans="2:9" x14ac:dyDescent="0.35">
      <c r="B140" s="16" t="s">
        <v>57</v>
      </c>
      <c r="C140" s="16" t="s">
        <v>56</v>
      </c>
    </row>
    <row r="141" spans="2:9" x14ac:dyDescent="0.35">
      <c r="B141" s="16" t="s">
        <v>58</v>
      </c>
      <c r="C141" s="53">
        <v>0.05</v>
      </c>
    </row>
    <row r="142" spans="2:9" x14ac:dyDescent="0.35">
      <c r="B142" s="16" t="s">
        <v>59</v>
      </c>
      <c r="C142" s="16"/>
    </row>
    <row r="143" spans="2:9" x14ac:dyDescent="0.35">
      <c r="B143" s="16" t="s">
        <v>60</v>
      </c>
      <c r="C143" s="16" t="s">
        <v>61</v>
      </c>
    </row>
    <row r="144" spans="2:9" x14ac:dyDescent="0.35">
      <c r="B144" s="16" t="s">
        <v>58</v>
      </c>
      <c r="C144" s="53">
        <v>0.1</v>
      </c>
    </row>
    <row r="146" spans="2:10" x14ac:dyDescent="0.35">
      <c r="B146" s="48" t="s">
        <v>12</v>
      </c>
      <c r="C146" s="92" t="s">
        <v>65</v>
      </c>
      <c r="D146" s="93"/>
      <c r="E146" s="92" t="s">
        <v>64</v>
      </c>
      <c r="F146" s="93"/>
      <c r="G146" s="92" t="s">
        <v>62</v>
      </c>
      <c r="H146" s="93"/>
      <c r="I146" s="92" t="s">
        <v>63</v>
      </c>
      <c r="J146" s="93"/>
    </row>
    <row r="147" spans="2:10" x14ac:dyDescent="0.35">
      <c r="B147" s="17">
        <v>2022</v>
      </c>
      <c r="C147" s="91">
        <f>400</f>
        <v>400</v>
      </c>
      <c r="D147" s="91"/>
      <c r="E147" s="90">
        <f>C147*$C$144</f>
        <v>40</v>
      </c>
      <c r="F147" s="90"/>
      <c r="G147" s="90">
        <f>40</f>
        <v>40</v>
      </c>
      <c r="H147" s="90"/>
      <c r="I147" s="90">
        <f>C147+E147+G147</f>
        <v>480</v>
      </c>
      <c r="J147" s="91"/>
    </row>
    <row r="148" spans="2:10" x14ac:dyDescent="0.35">
      <c r="B148" s="17">
        <v>2023</v>
      </c>
      <c r="C148" s="90">
        <f>C147*(1+$C$141)</f>
        <v>420</v>
      </c>
      <c r="D148" s="90"/>
      <c r="E148" s="90">
        <f t="shared" ref="E148:E157" si="25">C148*$C$144</f>
        <v>42</v>
      </c>
      <c r="F148" s="90"/>
      <c r="G148" s="90">
        <f>G147*(1+$C$144)</f>
        <v>44</v>
      </c>
      <c r="H148" s="90"/>
      <c r="I148" s="90">
        <f t="shared" ref="I148:I157" si="26">C148+E148+G148</f>
        <v>506</v>
      </c>
      <c r="J148" s="91"/>
    </row>
    <row r="149" spans="2:10" x14ac:dyDescent="0.35">
      <c r="B149" s="17">
        <v>2024</v>
      </c>
      <c r="C149" s="90">
        <f t="shared" ref="C149:C157" si="27">C148*(1+$C$141)</f>
        <v>441</v>
      </c>
      <c r="D149" s="90"/>
      <c r="E149" s="90">
        <f t="shared" si="25"/>
        <v>44.1</v>
      </c>
      <c r="F149" s="90"/>
      <c r="G149" s="90">
        <f t="shared" ref="G149:G157" si="28">G148*(1+$C$144)</f>
        <v>48.400000000000006</v>
      </c>
      <c r="H149" s="90"/>
      <c r="I149" s="90">
        <f t="shared" si="26"/>
        <v>533.5</v>
      </c>
      <c r="J149" s="91"/>
    </row>
    <row r="150" spans="2:10" x14ac:dyDescent="0.35">
      <c r="B150" s="17">
        <v>2025</v>
      </c>
      <c r="C150" s="90">
        <f t="shared" si="27"/>
        <v>463.05</v>
      </c>
      <c r="D150" s="90"/>
      <c r="E150" s="90">
        <f t="shared" si="25"/>
        <v>46.305000000000007</v>
      </c>
      <c r="F150" s="90"/>
      <c r="G150" s="90">
        <f t="shared" si="28"/>
        <v>53.240000000000009</v>
      </c>
      <c r="H150" s="90"/>
      <c r="I150" s="90">
        <f t="shared" si="26"/>
        <v>562.59500000000003</v>
      </c>
      <c r="J150" s="91"/>
    </row>
    <row r="151" spans="2:10" x14ac:dyDescent="0.35">
      <c r="B151" s="17">
        <v>2026</v>
      </c>
      <c r="C151" s="90">
        <f t="shared" si="27"/>
        <v>486.20250000000004</v>
      </c>
      <c r="D151" s="90"/>
      <c r="E151" s="90">
        <f t="shared" si="25"/>
        <v>48.620250000000006</v>
      </c>
      <c r="F151" s="90"/>
      <c r="G151" s="90">
        <f t="shared" si="28"/>
        <v>58.564000000000014</v>
      </c>
      <c r="H151" s="90"/>
      <c r="I151" s="90">
        <f t="shared" si="26"/>
        <v>593.38675000000001</v>
      </c>
      <c r="J151" s="91"/>
    </row>
    <row r="152" spans="2:10" x14ac:dyDescent="0.35">
      <c r="B152" s="17">
        <v>2027</v>
      </c>
      <c r="C152" s="90">
        <f t="shared" si="27"/>
        <v>510.51262500000007</v>
      </c>
      <c r="D152" s="90"/>
      <c r="E152" s="90">
        <f t="shared" si="25"/>
        <v>51.051262500000007</v>
      </c>
      <c r="F152" s="90"/>
      <c r="G152" s="90">
        <f t="shared" si="28"/>
        <v>64.420400000000015</v>
      </c>
      <c r="H152" s="90"/>
      <c r="I152" s="90">
        <f t="shared" si="26"/>
        <v>625.98428750000005</v>
      </c>
      <c r="J152" s="91"/>
    </row>
    <row r="153" spans="2:10" x14ac:dyDescent="0.35">
      <c r="B153" s="17">
        <v>2028</v>
      </c>
      <c r="C153" s="90">
        <f t="shared" si="27"/>
        <v>536.03825625000013</v>
      </c>
      <c r="D153" s="90"/>
      <c r="E153" s="90">
        <f t="shared" si="25"/>
        <v>53.603825625000013</v>
      </c>
      <c r="F153" s="90"/>
      <c r="G153" s="90">
        <f t="shared" si="28"/>
        <v>70.862440000000021</v>
      </c>
      <c r="H153" s="90"/>
      <c r="I153" s="90">
        <f t="shared" si="26"/>
        <v>660.50452187500014</v>
      </c>
      <c r="J153" s="91"/>
    </row>
    <row r="154" spans="2:10" x14ac:dyDescent="0.35">
      <c r="B154" s="17">
        <v>2029</v>
      </c>
      <c r="C154" s="90">
        <f t="shared" si="27"/>
        <v>562.84016906250019</v>
      </c>
      <c r="D154" s="90"/>
      <c r="E154" s="90">
        <f t="shared" si="25"/>
        <v>56.284016906250024</v>
      </c>
      <c r="F154" s="90"/>
      <c r="G154" s="90">
        <f t="shared" si="28"/>
        <v>77.948684000000029</v>
      </c>
      <c r="H154" s="90"/>
      <c r="I154" s="90">
        <f t="shared" si="26"/>
        <v>697.0728699687503</v>
      </c>
      <c r="J154" s="91"/>
    </row>
    <row r="155" spans="2:10" x14ac:dyDescent="0.35">
      <c r="B155" s="17">
        <v>2030</v>
      </c>
      <c r="C155" s="90">
        <f t="shared" si="27"/>
        <v>590.98217751562527</v>
      </c>
      <c r="D155" s="90"/>
      <c r="E155" s="90">
        <f t="shared" si="25"/>
        <v>59.09821775156253</v>
      </c>
      <c r="F155" s="90"/>
      <c r="G155" s="90">
        <f t="shared" si="28"/>
        <v>85.743552400000041</v>
      </c>
      <c r="H155" s="90"/>
      <c r="I155" s="90">
        <f t="shared" si="26"/>
        <v>735.82394766718778</v>
      </c>
      <c r="J155" s="91"/>
    </row>
    <row r="156" spans="2:10" x14ac:dyDescent="0.35">
      <c r="B156" s="17">
        <v>2031</v>
      </c>
      <c r="C156" s="90">
        <f t="shared" si="27"/>
        <v>620.53128639140652</v>
      </c>
      <c r="D156" s="90"/>
      <c r="E156" s="90">
        <f t="shared" si="25"/>
        <v>62.053128639140652</v>
      </c>
      <c r="F156" s="90"/>
      <c r="G156" s="90">
        <f t="shared" si="28"/>
        <v>94.317907640000058</v>
      </c>
      <c r="H156" s="90"/>
      <c r="I156" s="90">
        <f t="shared" si="26"/>
        <v>776.90232267054728</v>
      </c>
      <c r="J156" s="91"/>
    </row>
    <row r="157" spans="2:10" x14ac:dyDescent="0.35">
      <c r="B157" s="17">
        <v>2032</v>
      </c>
      <c r="C157" s="90">
        <f t="shared" si="27"/>
        <v>651.55785071097682</v>
      </c>
      <c r="D157" s="90"/>
      <c r="E157" s="90">
        <f t="shared" si="25"/>
        <v>65.155785071097682</v>
      </c>
      <c r="F157" s="90"/>
      <c r="G157" s="90">
        <f t="shared" si="28"/>
        <v>103.74969840400007</v>
      </c>
      <c r="H157" s="90"/>
      <c r="I157" s="90">
        <f t="shared" si="26"/>
        <v>820.46333418607469</v>
      </c>
      <c r="J157" s="91"/>
    </row>
    <row r="160" spans="2:10" x14ac:dyDescent="0.35">
      <c r="B160" s="86" t="s">
        <v>66</v>
      </c>
      <c r="C160" s="86"/>
    </row>
    <row r="161" spans="2:4" x14ac:dyDescent="0.35">
      <c r="B161" s="86"/>
      <c r="C161" s="86"/>
    </row>
    <row r="163" spans="2:4" x14ac:dyDescent="0.35">
      <c r="B163" s="16" t="s">
        <v>67</v>
      </c>
      <c r="C163" s="16" t="s">
        <v>68</v>
      </c>
    </row>
    <row r="164" spans="2:4" x14ac:dyDescent="0.35">
      <c r="B164" s="17"/>
      <c r="C164" s="17" t="s">
        <v>69</v>
      </c>
    </row>
    <row r="165" spans="2:4" x14ac:dyDescent="0.35">
      <c r="B165" s="17" t="s">
        <v>73</v>
      </c>
      <c r="C165" s="54">
        <v>0.15</v>
      </c>
    </row>
    <row r="166" spans="2:4" x14ac:dyDescent="0.35">
      <c r="B166" s="17" t="s">
        <v>71</v>
      </c>
      <c r="C166" s="54">
        <v>0.05</v>
      </c>
    </row>
    <row r="167" spans="2:4" x14ac:dyDescent="0.35">
      <c r="B167" s="16"/>
      <c r="C167" s="16"/>
    </row>
    <row r="168" spans="2:4" x14ac:dyDescent="0.35">
      <c r="B168" s="48" t="s">
        <v>12</v>
      </c>
      <c r="C168" s="48" t="s">
        <v>70</v>
      </c>
      <c r="D168" s="48" t="s">
        <v>72</v>
      </c>
    </row>
    <row r="169" spans="2:4" x14ac:dyDescent="0.35">
      <c r="B169" s="17">
        <v>2022</v>
      </c>
      <c r="C169" s="50">
        <v>500</v>
      </c>
      <c r="D169" s="50">
        <v>500</v>
      </c>
    </row>
    <row r="170" spans="2:4" x14ac:dyDescent="0.35">
      <c r="B170" s="17">
        <v>2023</v>
      </c>
      <c r="C170" s="50">
        <f>D170*(1+$C$165)</f>
        <v>603.75</v>
      </c>
      <c r="D170" s="50">
        <f>D169*(1+$C$166)</f>
        <v>525</v>
      </c>
    </row>
    <row r="171" spans="2:4" x14ac:dyDescent="0.35">
      <c r="B171" s="17">
        <v>2024</v>
      </c>
      <c r="C171" s="80">
        <f t="shared" ref="C171:C179" si="29">D171*(1+$C$165)</f>
        <v>633.9375</v>
      </c>
      <c r="D171" s="50">
        <f t="shared" ref="D171:D179" si="30">D170*(1+$C$166)</f>
        <v>551.25</v>
      </c>
    </row>
    <row r="172" spans="2:4" x14ac:dyDescent="0.35">
      <c r="B172" s="17">
        <v>2025</v>
      </c>
      <c r="C172" s="80">
        <f t="shared" si="29"/>
        <v>665.63437499999998</v>
      </c>
      <c r="D172" s="50">
        <f t="shared" si="30"/>
        <v>578.8125</v>
      </c>
    </row>
    <row r="173" spans="2:4" x14ac:dyDescent="0.35">
      <c r="B173" s="17">
        <v>2026</v>
      </c>
      <c r="C173" s="80">
        <f t="shared" si="29"/>
        <v>698.91609375000007</v>
      </c>
      <c r="D173" s="50">
        <f t="shared" si="30"/>
        <v>607.75312500000007</v>
      </c>
    </row>
    <row r="174" spans="2:4" x14ac:dyDescent="0.35">
      <c r="B174" s="17">
        <v>2027</v>
      </c>
      <c r="C174" s="80">
        <f t="shared" si="29"/>
        <v>733.86189843750014</v>
      </c>
      <c r="D174" s="50">
        <f t="shared" si="30"/>
        <v>638.14078125000015</v>
      </c>
    </row>
    <row r="175" spans="2:4" x14ac:dyDescent="0.35">
      <c r="B175" s="17">
        <v>2028</v>
      </c>
      <c r="C175" s="80">
        <f t="shared" si="29"/>
        <v>770.5549933593752</v>
      </c>
      <c r="D175" s="50">
        <f t="shared" si="30"/>
        <v>670.04782031250022</v>
      </c>
    </row>
    <row r="176" spans="2:4" x14ac:dyDescent="0.35">
      <c r="B176" s="17">
        <v>2029</v>
      </c>
      <c r="C176" s="80">
        <f t="shared" si="29"/>
        <v>809.08274302734389</v>
      </c>
      <c r="D176" s="50">
        <f t="shared" si="30"/>
        <v>703.55021132812522</v>
      </c>
    </row>
    <row r="177" spans="2:7" x14ac:dyDescent="0.35">
      <c r="B177" s="17">
        <v>2030</v>
      </c>
      <c r="C177" s="80">
        <f t="shared" si="29"/>
        <v>849.53688017871127</v>
      </c>
      <c r="D177" s="50">
        <f t="shared" si="30"/>
        <v>738.72772189453156</v>
      </c>
    </row>
    <row r="178" spans="2:7" x14ac:dyDescent="0.35">
      <c r="B178" s="17">
        <v>2031</v>
      </c>
      <c r="C178" s="80">
        <f t="shared" si="29"/>
        <v>892.01372418764674</v>
      </c>
      <c r="D178" s="50">
        <f t="shared" si="30"/>
        <v>775.66410798925813</v>
      </c>
    </row>
    <row r="179" spans="2:7" x14ac:dyDescent="0.35">
      <c r="B179" s="51">
        <v>2032</v>
      </c>
      <c r="C179" s="80">
        <f t="shared" si="29"/>
        <v>936.61441039702925</v>
      </c>
      <c r="D179" s="52">
        <f t="shared" si="30"/>
        <v>814.44731338872111</v>
      </c>
    </row>
    <row r="182" spans="2:7" x14ac:dyDescent="0.35">
      <c r="B182" s="86" t="s">
        <v>74</v>
      </c>
      <c r="C182" s="86"/>
    </row>
    <row r="183" spans="2:7" x14ac:dyDescent="0.35">
      <c r="B183" s="86"/>
      <c r="C183" s="86"/>
    </row>
    <row r="184" spans="2:7" x14ac:dyDescent="0.35">
      <c r="B184" s="17"/>
      <c r="C184" s="17" t="s">
        <v>78</v>
      </c>
    </row>
    <row r="185" spans="2:7" x14ac:dyDescent="0.35">
      <c r="B185" s="17" t="s">
        <v>75</v>
      </c>
      <c r="C185" s="54">
        <v>0.05</v>
      </c>
    </row>
    <row r="186" spans="2:7" x14ac:dyDescent="0.35">
      <c r="B186" s="17" t="s">
        <v>76</v>
      </c>
      <c r="C186" s="54">
        <v>0.1</v>
      </c>
    </row>
    <row r="187" spans="2:7" x14ac:dyDescent="0.35">
      <c r="B187" s="17" t="s">
        <v>77</v>
      </c>
      <c r="C187" s="54">
        <v>0.06</v>
      </c>
    </row>
    <row r="189" spans="2:7" x14ac:dyDescent="0.35">
      <c r="B189" s="48" t="s">
        <v>12</v>
      </c>
      <c r="C189" s="48" t="s">
        <v>79</v>
      </c>
      <c r="D189" s="48" t="s">
        <v>80</v>
      </c>
      <c r="E189" s="48" t="s">
        <v>76</v>
      </c>
      <c r="F189" s="48" t="s">
        <v>81</v>
      </c>
      <c r="G189" s="48" t="s">
        <v>82</v>
      </c>
    </row>
    <row r="190" spans="2:7" x14ac:dyDescent="0.35">
      <c r="B190" s="17">
        <v>2022</v>
      </c>
      <c r="C190" s="50">
        <f t="shared" ref="C190:C200" si="31">F47+L47+R47</f>
        <v>4800</v>
      </c>
      <c r="D190" s="50">
        <f>C190*$C$185</f>
        <v>240</v>
      </c>
      <c r="E190" s="50">
        <f>C190*$C$186</f>
        <v>480</v>
      </c>
      <c r="F190" s="50">
        <f>C190*$C$187</f>
        <v>288</v>
      </c>
      <c r="G190" s="50">
        <f>D190+E190-F190</f>
        <v>432</v>
      </c>
    </row>
    <row r="191" spans="2:7" x14ac:dyDescent="0.35">
      <c r="B191" s="17">
        <v>2023</v>
      </c>
      <c r="C191" s="50">
        <f t="shared" si="31"/>
        <v>5320.6299999999992</v>
      </c>
      <c r="D191" s="50">
        <f t="shared" ref="D191:D200" si="32">C191*$C$185</f>
        <v>266.03149999999999</v>
      </c>
      <c r="E191" s="50">
        <f t="shared" ref="E191:E200" si="33">C191*$C$186</f>
        <v>532.06299999999999</v>
      </c>
      <c r="F191" s="50">
        <f t="shared" ref="F191:F200" si="34">C191*$C$187</f>
        <v>319.23779999999994</v>
      </c>
      <c r="G191" s="50">
        <f t="shared" ref="G191:G200" si="35">D191+E191-F191</f>
        <v>478.85669999999999</v>
      </c>
    </row>
    <row r="192" spans="2:7" x14ac:dyDescent="0.35">
      <c r="B192" s="17">
        <v>2024</v>
      </c>
      <c r="C192" s="50">
        <f t="shared" si="31"/>
        <v>5782.5292979999995</v>
      </c>
      <c r="D192" s="50">
        <f t="shared" si="32"/>
        <v>289.12646489999997</v>
      </c>
      <c r="E192" s="50">
        <f t="shared" si="33"/>
        <v>578.25292979999995</v>
      </c>
      <c r="F192" s="50">
        <f t="shared" si="34"/>
        <v>346.95175787999995</v>
      </c>
      <c r="G192" s="50">
        <f t="shared" si="35"/>
        <v>520.42763681999998</v>
      </c>
    </row>
    <row r="193" spans="2:7" x14ac:dyDescent="0.35">
      <c r="B193" s="17">
        <v>2025</v>
      </c>
      <c r="C193" s="50">
        <f t="shared" si="31"/>
        <v>6287.787877194598</v>
      </c>
      <c r="D193" s="50">
        <f t="shared" si="32"/>
        <v>314.38939385972992</v>
      </c>
      <c r="E193" s="50">
        <f t="shared" si="33"/>
        <v>628.77878771945984</v>
      </c>
      <c r="F193" s="50">
        <f t="shared" si="34"/>
        <v>377.26727263167584</v>
      </c>
      <c r="G193" s="50">
        <f t="shared" si="35"/>
        <v>565.90090894751393</v>
      </c>
    </row>
    <row r="194" spans="2:7" x14ac:dyDescent="0.35">
      <c r="B194" s="17">
        <v>2026</v>
      </c>
      <c r="C194" s="50">
        <f t="shared" si="31"/>
        <v>6840.7634779013306</v>
      </c>
      <c r="D194" s="50">
        <f t="shared" si="32"/>
        <v>342.03817389506656</v>
      </c>
      <c r="E194" s="50">
        <f t="shared" si="33"/>
        <v>684.07634779013313</v>
      </c>
      <c r="F194" s="50">
        <f t="shared" si="34"/>
        <v>410.44580867407984</v>
      </c>
      <c r="G194" s="50">
        <f t="shared" si="35"/>
        <v>615.66871301111973</v>
      </c>
    </row>
    <row r="195" spans="2:7" x14ac:dyDescent="0.35">
      <c r="B195" s="17">
        <v>2027</v>
      </c>
      <c r="C195" s="50">
        <f t="shared" si="31"/>
        <v>7446.2752964686897</v>
      </c>
      <c r="D195" s="50">
        <f t="shared" si="32"/>
        <v>372.3137648234345</v>
      </c>
      <c r="E195" s="50">
        <f t="shared" si="33"/>
        <v>744.62752964686899</v>
      </c>
      <c r="F195" s="50">
        <f t="shared" si="34"/>
        <v>446.77651778812134</v>
      </c>
      <c r="G195" s="50">
        <f t="shared" si="35"/>
        <v>670.16477668218226</v>
      </c>
    </row>
    <row r="196" spans="2:7" x14ac:dyDescent="0.35">
      <c r="B196" s="17">
        <v>2028</v>
      </c>
      <c r="C196" s="50">
        <f t="shared" si="31"/>
        <v>8109.6546466836389</v>
      </c>
      <c r="D196" s="50">
        <f t="shared" si="32"/>
        <v>405.48273233418195</v>
      </c>
      <c r="E196" s="50">
        <f t="shared" si="33"/>
        <v>810.96546466836389</v>
      </c>
      <c r="F196" s="50">
        <f t="shared" si="34"/>
        <v>486.57927880101829</v>
      </c>
      <c r="G196" s="50">
        <f t="shared" si="35"/>
        <v>729.86891820152755</v>
      </c>
    </row>
    <row r="197" spans="2:7" x14ac:dyDescent="0.35">
      <c r="B197" s="17">
        <v>2029</v>
      </c>
      <c r="C197" s="50">
        <f t="shared" si="31"/>
        <v>8836.8013138293445</v>
      </c>
      <c r="D197" s="50">
        <f t="shared" si="32"/>
        <v>441.84006569146726</v>
      </c>
      <c r="E197" s="50">
        <f t="shared" si="33"/>
        <v>883.68013138293452</v>
      </c>
      <c r="F197" s="50">
        <f t="shared" si="34"/>
        <v>530.20807882976067</v>
      </c>
      <c r="G197" s="50">
        <f t="shared" si="35"/>
        <v>795.31211824464106</v>
      </c>
    </row>
    <row r="198" spans="2:7" x14ac:dyDescent="0.35">
      <c r="B198" s="17">
        <v>2030</v>
      </c>
      <c r="C198" s="50">
        <f t="shared" si="31"/>
        <v>9634.2462502705694</v>
      </c>
      <c r="D198" s="50">
        <f t="shared" si="32"/>
        <v>481.7123125135285</v>
      </c>
      <c r="E198" s="50">
        <f t="shared" si="33"/>
        <v>963.424625027057</v>
      </c>
      <c r="F198" s="50">
        <f t="shared" si="34"/>
        <v>578.05477501623409</v>
      </c>
      <c r="G198" s="50">
        <f t="shared" si="35"/>
        <v>867.08216252435136</v>
      </c>
    </row>
    <row r="199" spans="2:7" x14ac:dyDescent="0.35">
      <c r="B199" s="17">
        <v>2031</v>
      </c>
      <c r="C199" s="50">
        <f t="shared" si="31"/>
        <v>10509.221336044562</v>
      </c>
      <c r="D199" s="50">
        <f t="shared" si="32"/>
        <v>525.46106680222817</v>
      </c>
      <c r="E199" s="50">
        <f t="shared" si="33"/>
        <v>1050.9221336044563</v>
      </c>
      <c r="F199" s="50">
        <f t="shared" si="34"/>
        <v>630.55328016267367</v>
      </c>
      <c r="G199" s="50">
        <f t="shared" si="35"/>
        <v>945.82992024401074</v>
      </c>
    </row>
    <row r="200" spans="2:7" x14ac:dyDescent="0.35">
      <c r="B200" s="51">
        <v>2032</v>
      </c>
      <c r="C200" s="52">
        <f t="shared" si="31"/>
        <v>11469.73701115581</v>
      </c>
      <c r="D200" s="52">
        <f t="shared" si="32"/>
        <v>573.48685055779049</v>
      </c>
      <c r="E200" s="52">
        <f t="shared" si="33"/>
        <v>1146.973701115581</v>
      </c>
      <c r="F200" s="52">
        <f t="shared" si="34"/>
        <v>688.18422066934863</v>
      </c>
      <c r="G200" s="52">
        <f t="shared" si="35"/>
        <v>1032.2763310040227</v>
      </c>
    </row>
    <row r="203" spans="2:7" x14ac:dyDescent="0.35">
      <c r="B203" s="86" t="s">
        <v>83</v>
      </c>
      <c r="C203" s="86"/>
    </row>
    <row r="204" spans="2:7" x14ac:dyDescent="0.35">
      <c r="B204" s="86"/>
      <c r="C204" s="86"/>
    </row>
    <row r="206" spans="2:7" x14ac:dyDescent="0.35">
      <c r="B206" s="17" t="s">
        <v>84</v>
      </c>
      <c r="C206" s="17" t="s">
        <v>7</v>
      </c>
    </row>
    <row r="207" spans="2:7" x14ac:dyDescent="0.35">
      <c r="B207" s="17" t="s">
        <v>85</v>
      </c>
      <c r="C207" s="54">
        <v>0.03</v>
      </c>
    </row>
    <row r="209" spans="2:4" x14ac:dyDescent="0.35">
      <c r="B209" s="48" t="s">
        <v>12</v>
      </c>
      <c r="C209" s="48" t="s">
        <v>86</v>
      </c>
    </row>
    <row r="210" spans="2:4" x14ac:dyDescent="0.35">
      <c r="B210" s="17">
        <v>2022</v>
      </c>
      <c r="C210" s="50">
        <v>30</v>
      </c>
    </row>
    <row r="211" spans="2:4" x14ac:dyDescent="0.35">
      <c r="B211" s="17">
        <v>2023</v>
      </c>
      <c r="C211" s="50">
        <f>C210*(1+$C$207)</f>
        <v>30.900000000000002</v>
      </c>
    </row>
    <row r="212" spans="2:4" x14ac:dyDescent="0.35">
      <c r="B212" s="17">
        <v>2024</v>
      </c>
      <c r="C212" s="50">
        <f t="shared" ref="C212:C220" si="36">C211*(1+$C$207)</f>
        <v>31.827000000000002</v>
      </c>
    </row>
    <row r="213" spans="2:4" x14ac:dyDescent="0.35">
      <c r="B213" s="17">
        <v>2025</v>
      </c>
      <c r="C213" s="50">
        <f t="shared" si="36"/>
        <v>32.78181</v>
      </c>
    </row>
    <row r="214" spans="2:4" x14ac:dyDescent="0.35">
      <c r="B214" s="17">
        <v>2026</v>
      </c>
      <c r="C214" s="50">
        <f t="shared" si="36"/>
        <v>33.765264299999998</v>
      </c>
    </row>
    <row r="215" spans="2:4" x14ac:dyDescent="0.35">
      <c r="B215" s="17">
        <v>2027</v>
      </c>
      <c r="C215" s="50">
        <f t="shared" si="36"/>
        <v>34.778222229000001</v>
      </c>
    </row>
    <row r="216" spans="2:4" x14ac:dyDescent="0.35">
      <c r="B216" s="17">
        <v>2028</v>
      </c>
      <c r="C216" s="50">
        <f t="shared" si="36"/>
        <v>35.821568895870001</v>
      </c>
    </row>
    <row r="217" spans="2:4" x14ac:dyDescent="0.35">
      <c r="B217" s="17">
        <v>2029</v>
      </c>
      <c r="C217" s="50">
        <f t="shared" si="36"/>
        <v>36.896215962746105</v>
      </c>
    </row>
    <row r="218" spans="2:4" x14ac:dyDescent="0.35">
      <c r="B218" s="17">
        <v>2030</v>
      </c>
      <c r="C218" s="50">
        <f t="shared" si="36"/>
        <v>38.003102441628492</v>
      </c>
    </row>
    <row r="219" spans="2:4" x14ac:dyDescent="0.35">
      <c r="B219" s="17">
        <v>2031</v>
      </c>
      <c r="C219" s="50">
        <f t="shared" si="36"/>
        <v>39.143195514877348</v>
      </c>
    </row>
    <row r="220" spans="2:4" x14ac:dyDescent="0.35">
      <c r="B220" s="17">
        <v>2032</v>
      </c>
      <c r="C220" s="50">
        <f t="shared" si="36"/>
        <v>40.317491380323666</v>
      </c>
    </row>
    <row r="222" spans="2:4" ht="14.5" customHeight="1" x14ac:dyDescent="0.35">
      <c r="B222" s="87" t="s">
        <v>109</v>
      </c>
      <c r="C222" s="87"/>
      <c r="D222" s="84">
        <f>SUM(C226:C236)</f>
        <v>25326.341968259538</v>
      </c>
    </row>
    <row r="223" spans="2:4" ht="14.5" customHeight="1" x14ac:dyDescent="0.35">
      <c r="B223" s="87"/>
      <c r="C223" s="87"/>
      <c r="D223" s="85"/>
    </row>
    <row r="225" spans="2:8" x14ac:dyDescent="0.35">
      <c r="B225" s="48" t="s">
        <v>12</v>
      </c>
      <c r="C225" s="48" t="s">
        <v>87</v>
      </c>
    </row>
    <row r="226" spans="2:8" x14ac:dyDescent="0.35">
      <c r="B226" s="17">
        <v>2022</v>
      </c>
      <c r="C226" s="50">
        <f>C82+C96+I147+C169+G190</f>
        <v>2562</v>
      </c>
    </row>
    <row r="227" spans="2:8" x14ac:dyDescent="0.35">
      <c r="B227" s="17">
        <v>2023</v>
      </c>
      <c r="C227" s="50">
        <f>D97+I148+C170+G191</f>
        <v>1668.6067</v>
      </c>
    </row>
    <row r="228" spans="2:8" x14ac:dyDescent="0.35">
      <c r="B228" s="17">
        <v>2024</v>
      </c>
      <c r="C228" s="50">
        <f>D98+I149+C171+G192</f>
        <v>1767.8651368199999</v>
      </c>
    </row>
    <row r="229" spans="2:8" x14ac:dyDescent="0.35">
      <c r="B229" s="17">
        <v>2025</v>
      </c>
      <c r="C229" s="50">
        <f>D99+I150+C172+G193</f>
        <v>1874.1302839475138</v>
      </c>
    </row>
    <row r="230" spans="2:8" x14ac:dyDescent="0.35">
      <c r="B230" s="17">
        <v>2026</v>
      </c>
      <c r="C230" s="50">
        <f>D100+I151+C173+G194+C129</f>
        <v>2624.7896871361199</v>
      </c>
    </row>
    <row r="231" spans="2:8" x14ac:dyDescent="0.35">
      <c r="B231" s="17">
        <v>2027</v>
      </c>
      <c r="C231" s="50">
        <f t="shared" ref="C231:C236" si="37">D101+I152+C174+G195</f>
        <v>2110.0109626196827</v>
      </c>
    </row>
    <row r="232" spans="2:8" x14ac:dyDescent="0.35">
      <c r="B232" s="17">
        <v>2028</v>
      </c>
      <c r="C232" s="50">
        <f t="shared" si="37"/>
        <v>2240.9284334359027</v>
      </c>
    </row>
    <row r="233" spans="2:8" x14ac:dyDescent="0.35">
      <c r="B233" s="17">
        <v>2029</v>
      </c>
      <c r="C233" s="50">
        <f t="shared" si="37"/>
        <v>2381.4677312407352</v>
      </c>
    </row>
    <row r="234" spans="2:8" x14ac:dyDescent="0.35">
      <c r="B234" s="17">
        <v>2030</v>
      </c>
      <c r="C234" s="50">
        <f t="shared" si="37"/>
        <v>2532.4429903702503</v>
      </c>
    </row>
    <row r="235" spans="2:8" x14ac:dyDescent="0.35">
      <c r="B235" s="17">
        <v>2031</v>
      </c>
      <c r="C235" s="50">
        <f t="shared" si="37"/>
        <v>2694.7459671022048</v>
      </c>
    </row>
    <row r="236" spans="2:8" x14ac:dyDescent="0.35">
      <c r="B236" s="17">
        <v>2032</v>
      </c>
      <c r="C236" s="50">
        <f t="shared" si="37"/>
        <v>2869.3540755871268</v>
      </c>
    </row>
    <row r="238" spans="2:8" x14ac:dyDescent="0.35">
      <c r="B238" s="88" t="s">
        <v>93</v>
      </c>
      <c r="C238" s="89"/>
      <c r="D238" s="89"/>
      <c r="E238" s="89"/>
      <c r="F238" s="89"/>
      <c r="G238" s="89"/>
      <c r="H238" s="89"/>
    </row>
    <row r="239" spans="2:8" x14ac:dyDescent="0.35">
      <c r="B239" s="89"/>
      <c r="C239" s="89"/>
      <c r="D239" s="89"/>
      <c r="E239" s="89"/>
      <c r="F239" s="89"/>
      <c r="G239" s="89"/>
      <c r="H239" s="89"/>
    </row>
    <row r="241" spans="2:7" x14ac:dyDescent="0.35">
      <c r="B241" t="s">
        <v>98</v>
      </c>
      <c r="C241" s="30">
        <v>0.1</v>
      </c>
    </row>
    <row r="243" spans="2:7" x14ac:dyDescent="0.35">
      <c r="B243" s="47" t="s">
        <v>12</v>
      </c>
      <c r="C243" s="47" t="s">
        <v>94</v>
      </c>
      <c r="D243" s="47" t="s">
        <v>87</v>
      </c>
      <c r="E243" s="47" t="s">
        <v>95</v>
      </c>
      <c r="F243" s="47" t="s">
        <v>96</v>
      </c>
      <c r="G243" s="47" t="s">
        <v>97</v>
      </c>
    </row>
    <row r="244" spans="2:7" x14ac:dyDescent="0.35">
      <c r="B244" s="17">
        <v>2022</v>
      </c>
      <c r="C244" s="50">
        <v>4800</v>
      </c>
      <c r="D244" s="50">
        <v>1562</v>
      </c>
      <c r="E244" s="50">
        <f>C244-D244</f>
        <v>3238</v>
      </c>
      <c r="F244" s="50">
        <f>$C$241*E244</f>
        <v>323.8</v>
      </c>
      <c r="G244" s="50">
        <f>E244-F244</f>
        <v>2914.2</v>
      </c>
    </row>
    <row r="245" spans="2:7" x14ac:dyDescent="0.35">
      <c r="B245" s="17">
        <v>2023</v>
      </c>
      <c r="C245" s="50">
        <v>5320.6299999999992</v>
      </c>
      <c r="D245" s="50">
        <v>1668.6067</v>
      </c>
      <c r="E245" s="50">
        <f t="shared" ref="E245:E254" si="38">C245-D245</f>
        <v>3652.0232999999989</v>
      </c>
      <c r="F245" s="50">
        <f t="shared" ref="F245:F254" si="39">$C$241*E245</f>
        <v>365.2023299999999</v>
      </c>
      <c r="G245" s="50">
        <f t="shared" ref="G245:G254" si="40">E245-F245</f>
        <v>3286.8209699999989</v>
      </c>
    </row>
    <row r="246" spans="2:7" x14ac:dyDescent="0.35">
      <c r="B246" s="17">
        <v>2024</v>
      </c>
      <c r="C246" s="50">
        <v>5782.5292979999995</v>
      </c>
      <c r="D246" s="50">
        <v>1767.8651368199999</v>
      </c>
      <c r="E246" s="50">
        <f t="shared" si="38"/>
        <v>4014.6641611799996</v>
      </c>
      <c r="F246" s="50">
        <f t="shared" si="39"/>
        <v>401.46641611799998</v>
      </c>
      <c r="G246" s="50">
        <f t="shared" si="40"/>
        <v>3613.1977450619997</v>
      </c>
    </row>
    <row r="247" spans="2:7" x14ac:dyDescent="0.35">
      <c r="B247" s="17">
        <v>2025</v>
      </c>
      <c r="C247" s="50">
        <v>6287.787877194598</v>
      </c>
      <c r="D247" s="50">
        <v>1874.1302839475138</v>
      </c>
      <c r="E247" s="50">
        <f t="shared" si="38"/>
        <v>4413.6575932470842</v>
      </c>
      <c r="F247" s="50">
        <f t="shared" si="39"/>
        <v>441.36575932470845</v>
      </c>
      <c r="G247" s="50">
        <f t="shared" si="40"/>
        <v>3972.2918339223756</v>
      </c>
    </row>
    <row r="248" spans="2:7" x14ac:dyDescent="0.35">
      <c r="B248" s="17">
        <v>2026</v>
      </c>
      <c r="C248" s="50">
        <v>6840.7634779013306</v>
      </c>
      <c r="D248" s="50">
        <v>2624.7896871361199</v>
      </c>
      <c r="E248" s="50">
        <f t="shared" si="38"/>
        <v>4215.9737907652107</v>
      </c>
      <c r="F248" s="50">
        <f t="shared" si="39"/>
        <v>421.59737907652107</v>
      </c>
      <c r="G248" s="50">
        <f t="shared" si="40"/>
        <v>3794.3764116886896</v>
      </c>
    </row>
    <row r="249" spans="2:7" x14ac:dyDescent="0.35">
      <c r="B249" s="17">
        <v>2027</v>
      </c>
      <c r="C249" s="50">
        <v>7446.2752964686897</v>
      </c>
      <c r="D249" s="50">
        <v>2110.0109626196827</v>
      </c>
      <c r="E249" s="50">
        <f t="shared" si="38"/>
        <v>5336.264333849007</v>
      </c>
      <c r="F249" s="50">
        <f t="shared" si="39"/>
        <v>533.62643338490068</v>
      </c>
      <c r="G249" s="50">
        <f t="shared" si="40"/>
        <v>4802.6379004641067</v>
      </c>
    </row>
    <row r="250" spans="2:7" x14ac:dyDescent="0.35">
      <c r="B250" s="17">
        <v>2028</v>
      </c>
      <c r="C250" s="50">
        <v>8109.6546466836389</v>
      </c>
      <c r="D250" s="50">
        <v>2240.9284334359027</v>
      </c>
      <c r="E250" s="50">
        <f t="shared" si="38"/>
        <v>5868.7262132477363</v>
      </c>
      <c r="F250" s="50">
        <f t="shared" si="39"/>
        <v>586.8726213247736</v>
      </c>
      <c r="G250" s="50">
        <f t="shared" si="40"/>
        <v>5281.8535919229626</v>
      </c>
    </row>
    <row r="251" spans="2:7" x14ac:dyDescent="0.35">
      <c r="B251" s="17">
        <v>2029</v>
      </c>
      <c r="C251" s="50">
        <v>8836.8013138293445</v>
      </c>
      <c r="D251" s="50">
        <v>2381.4677312407352</v>
      </c>
      <c r="E251" s="50">
        <f t="shared" si="38"/>
        <v>6455.3335825886097</v>
      </c>
      <c r="F251" s="50">
        <f t="shared" si="39"/>
        <v>645.53335825886097</v>
      </c>
      <c r="G251" s="50">
        <f t="shared" si="40"/>
        <v>5809.8002243297487</v>
      </c>
    </row>
    <row r="252" spans="2:7" x14ac:dyDescent="0.35">
      <c r="B252" s="17">
        <v>2030</v>
      </c>
      <c r="C252" s="50">
        <v>9634.2462502705694</v>
      </c>
      <c r="D252" s="50">
        <v>2532.4429903702503</v>
      </c>
      <c r="E252" s="50">
        <f t="shared" si="38"/>
        <v>7101.8032599003191</v>
      </c>
      <c r="F252" s="50">
        <f t="shared" si="39"/>
        <v>710.18032599003197</v>
      </c>
      <c r="G252" s="50">
        <f t="shared" si="40"/>
        <v>6391.6229339102874</v>
      </c>
    </row>
    <row r="253" spans="2:7" x14ac:dyDescent="0.35">
      <c r="B253" s="17">
        <v>2031</v>
      </c>
      <c r="C253" s="50">
        <v>10509.221336044562</v>
      </c>
      <c r="D253" s="50">
        <v>2694.7459671022048</v>
      </c>
      <c r="E253" s="50">
        <f t="shared" si="38"/>
        <v>7814.4753689423578</v>
      </c>
      <c r="F253" s="50">
        <f t="shared" si="39"/>
        <v>781.44753689423578</v>
      </c>
      <c r="G253" s="50">
        <f t="shared" si="40"/>
        <v>7033.027832048122</v>
      </c>
    </row>
    <row r="254" spans="2:7" x14ac:dyDescent="0.35">
      <c r="B254" s="17">
        <v>2032</v>
      </c>
      <c r="C254" s="50">
        <v>11469.73701115581</v>
      </c>
      <c r="D254" s="50">
        <v>2869.3540755871268</v>
      </c>
      <c r="E254" s="50">
        <f t="shared" si="38"/>
        <v>8600.382935568683</v>
      </c>
      <c r="F254" s="50">
        <f t="shared" si="39"/>
        <v>860.03829355686833</v>
      </c>
      <c r="G254" s="50">
        <f t="shared" si="40"/>
        <v>7740.3446420118144</v>
      </c>
    </row>
  </sheetData>
  <mergeCells count="80">
    <mergeCell ref="B10:H11"/>
    <mergeCell ref="B2:E3"/>
    <mergeCell ref="B5:E6"/>
    <mergeCell ref="F17:H17"/>
    <mergeCell ref="B39:D39"/>
    <mergeCell ref="B17:D17"/>
    <mergeCell ref="B8:E8"/>
    <mergeCell ref="B36:D36"/>
    <mergeCell ref="B37:D37"/>
    <mergeCell ref="J17:K17"/>
    <mergeCell ref="B32:H33"/>
    <mergeCell ref="A18:F18"/>
    <mergeCell ref="G110:J111"/>
    <mergeCell ref="B137:C138"/>
    <mergeCell ref="B84:C85"/>
    <mergeCell ref="B109:C110"/>
    <mergeCell ref="B112:D112"/>
    <mergeCell ref="B59:C60"/>
    <mergeCell ref="C76:I77"/>
    <mergeCell ref="B79:C80"/>
    <mergeCell ref="B42:D42"/>
    <mergeCell ref="C44:E44"/>
    <mergeCell ref="J44:L44"/>
    <mergeCell ref="B45:G45"/>
    <mergeCell ref="B35:D35"/>
    <mergeCell ref="I148:J148"/>
    <mergeCell ref="G148:H148"/>
    <mergeCell ref="G149:H149"/>
    <mergeCell ref="I149:J149"/>
    <mergeCell ref="C146:D146"/>
    <mergeCell ref="E146:F146"/>
    <mergeCell ref="G146:H146"/>
    <mergeCell ref="I146:J146"/>
    <mergeCell ref="C147:D147"/>
    <mergeCell ref="E147:F147"/>
    <mergeCell ref="G147:H147"/>
    <mergeCell ref="I147:J147"/>
    <mergeCell ref="I150:J150"/>
    <mergeCell ref="I151:J151"/>
    <mergeCell ref="C152:D152"/>
    <mergeCell ref="G152:H152"/>
    <mergeCell ref="I152:J152"/>
    <mergeCell ref="E151:F151"/>
    <mergeCell ref="E152:F152"/>
    <mergeCell ref="C151:D151"/>
    <mergeCell ref="G150:H150"/>
    <mergeCell ref="G151:H151"/>
    <mergeCell ref="C150:D150"/>
    <mergeCell ref="E150:F150"/>
    <mergeCell ref="I153:J153"/>
    <mergeCell ref="C154:D154"/>
    <mergeCell ref="E154:F154"/>
    <mergeCell ref="G154:H154"/>
    <mergeCell ref="I154:J154"/>
    <mergeCell ref="I157:J157"/>
    <mergeCell ref="B160:C161"/>
    <mergeCell ref="B182:C183"/>
    <mergeCell ref="C155:D155"/>
    <mergeCell ref="E155:F155"/>
    <mergeCell ref="G155:H155"/>
    <mergeCell ref="I155:J155"/>
    <mergeCell ref="C156:D156"/>
    <mergeCell ref="E156:F156"/>
    <mergeCell ref="G156:H156"/>
    <mergeCell ref="I156:J156"/>
    <mergeCell ref="D59:D60"/>
    <mergeCell ref="D222:D223"/>
    <mergeCell ref="B203:C204"/>
    <mergeCell ref="B222:C223"/>
    <mergeCell ref="B238:H239"/>
    <mergeCell ref="C157:D157"/>
    <mergeCell ref="E157:F157"/>
    <mergeCell ref="G157:H157"/>
    <mergeCell ref="C153:D153"/>
    <mergeCell ref="E153:F153"/>
    <mergeCell ref="G153:H153"/>
    <mergeCell ref="C148:D148"/>
    <mergeCell ref="C149:D149"/>
    <mergeCell ref="E148:F148"/>
    <mergeCell ref="E149:F149"/>
  </mergeCells>
  <pageMargins left="0.7" right="0.7" top="0.75" bottom="0.75" header="0.3" footer="0.3"/>
  <pageSetup orientation="portrait" r:id="rId1"/>
  <ignoredErrors>
    <ignoredError sqref="C230 F244:F25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F2EDE-7D50-4270-9700-C0F4263C4C8A}">
  <dimension ref="B2:R90"/>
  <sheetViews>
    <sheetView topLeftCell="C1" zoomScale="115" zoomScaleNormal="115" workbookViewId="0">
      <selection activeCell="B87" sqref="B87"/>
    </sheetView>
  </sheetViews>
  <sheetFormatPr defaultRowHeight="14.5" x14ac:dyDescent="0.35"/>
  <cols>
    <col min="2" max="2" width="24.08984375" customWidth="1"/>
    <col min="3" max="3" width="26" customWidth="1"/>
    <col min="4" max="4" width="20.453125" customWidth="1"/>
    <col min="5" max="5" width="19.90625" customWidth="1"/>
    <col min="6" max="6" width="17.6328125" customWidth="1"/>
    <col min="7" max="7" width="16.453125" bestFit="1" customWidth="1"/>
    <col min="8" max="8" width="12.6328125" customWidth="1"/>
    <col min="10" max="10" width="18.54296875" bestFit="1" customWidth="1"/>
    <col min="11" max="11" width="16.453125" bestFit="1" customWidth="1"/>
    <col min="12" max="12" width="12.26953125" bestFit="1" customWidth="1"/>
    <col min="16" max="16" width="18.54296875" bestFit="1" customWidth="1"/>
    <col min="17" max="17" width="16.453125" bestFit="1" customWidth="1"/>
    <col min="18" max="18" width="12.26953125" bestFit="1" customWidth="1"/>
  </cols>
  <sheetData>
    <row r="2" spans="2:16" ht="14.5" customHeight="1" x14ac:dyDescent="0.35">
      <c r="B2" s="101" t="s">
        <v>99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2:16" ht="14.5" customHeight="1" x14ac:dyDescent="0.35"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5" spans="2:16" x14ac:dyDescent="0.35">
      <c r="C5" s="112" t="s">
        <v>100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</row>
    <row r="7" spans="2:16" x14ac:dyDescent="0.35">
      <c r="H7" t="s">
        <v>103</v>
      </c>
    </row>
    <row r="9" spans="2:16" x14ac:dyDescent="0.35">
      <c r="B9" s="109" t="s">
        <v>101</v>
      </c>
      <c r="C9" s="109"/>
      <c r="D9" s="109"/>
      <c r="E9" s="109"/>
      <c r="F9" s="109"/>
      <c r="G9" s="109"/>
      <c r="H9" s="39">
        <v>200</v>
      </c>
    </row>
    <row r="10" spans="2:16" x14ac:dyDescent="0.35">
      <c r="B10" s="109" t="s">
        <v>102</v>
      </c>
      <c r="C10" s="109"/>
      <c r="D10" s="109"/>
      <c r="E10" s="109"/>
      <c r="F10" s="109"/>
      <c r="G10" s="109"/>
      <c r="H10" s="39">
        <v>696.32</v>
      </c>
    </row>
    <row r="11" spans="2:16" x14ac:dyDescent="0.35">
      <c r="B11" s="109" t="s">
        <v>104</v>
      </c>
      <c r="C11" s="109"/>
      <c r="D11" s="109"/>
      <c r="E11" s="109"/>
      <c r="F11" s="109"/>
      <c r="G11" s="109"/>
      <c r="H11" s="60">
        <v>0.11</v>
      </c>
    </row>
    <row r="12" spans="2:16" x14ac:dyDescent="0.35">
      <c r="B12" s="109" t="s">
        <v>105</v>
      </c>
      <c r="C12" s="109"/>
      <c r="D12" s="109"/>
      <c r="E12" s="109"/>
      <c r="F12" s="109"/>
      <c r="G12" s="109"/>
      <c r="H12" s="39">
        <v>1032.2763310040227</v>
      </c>
    </row>
    <row r="13" spans="2:16" x14ac:dyDescent="0.35">
      <c r="B13" s="109" t="s">
        <v>106</v>
      </c>
      <c r="C13" s="109"/>
      <c r="D13" s="109"/>
      <c r="E13" s="109"/>
      <c r="F13" s="109"/>
      <c r="G13" s="109"/>
      <c r="H13" s="39">
        <f>H12*(1+H11)</f>
        <v>1145.8267274144653</v>
      </c>
    </row>
    <row r="14" spans="2:16" x14ac:dyDescent="0.35">
      <c r="B14" s="61"/>
      <c r="C14" s="61"/>
      <c r="D14" s="61"/>
      <c r="E14" s="61"/>
      <c r="F14" s="61"/>
      <c r="G14" s="61"/>
      <c r="H14" s="40"/>
    </row>
    <row r="15" spans="2:16" x14ac:dyDescent="0.35">
      <c r="B15" s="109" t="s">
        <v>107</v>
      </c>
      <c r="C15" s="109"/>
      <c r="D15" s="109"/>
      <c r="E15" s="109"/>
      <c r="F15" s="109"/>
      <c r="G15" s="109"/>
      <c r="H15" s="39">
        <f>H13+H10+H9</f>
        <v>2042.1467274144652</v>
      </c>
    </row>
    <row r="16" spans="2:16" x14ac:dyDescent="0.35">
      <c r="B16" s="62"/>
      <c r="C16" s="62"/>
      <c r="D16" s="62"/>
      <c r="E16" s="62"/>
      <c r="F16" s="62"/>
      <c r="G16" s="62"/>
      <c r="H16" s="39"/>
    </row>
    <row r="17" spans="2:17" ht="18.5" x14ac:dyDescent="0.45">
      <c r="B17" s="64" t="s">
        <v>110</v>
      </c>
      <c r="C17" s="59"/>
      <c r="D17" s="59"/>
      <c r="E17" s="59"/>
      <c r="F17" s="59"/>
      <c r="G17" s="66"/>
      <c r="H17" s="64" t="s">
        <v>126</v>
      </c>
    </row>
    <row r="18" spans="2:17" x14ac:dyDescent="0.35">
      <c r="B18" s="111" t="s">
        <v>111</v>
      </c>
      <c r="C18" s="111"/>
      <c r="D18" s="111"/>
      <c r="E18" s="111"/>
      <c r="F18" s="63">
        <v>-150</v>
      </c>
      <c r="G18" s="66"/>
      <c r="H18" s="110" t="s">
        <v>127</v>
      </c>
      <c r="I18" s="110"/>
      <c r="J18" s="110"/>
      <c r="K18" s="50">
        <v>7740.3446420118144</v>
      </c>
    </row>
    <row r="19" spans="2:17" x14ac:dyDescent="0.35">
      <c r="B19" s="111" t="s">
        <v>112</v>
      </c>
      <c r="C19" s="111"/>
      <c r="D19" s="111"/>
      <c r="E19" s="111"/>
      <c r="F19" s="63">
        <v>-1000</v>
      </c>
      <c r="G19" s="66"/>
      <c r="H19" s="65" t="s">
        <v>128</v>
      </c>
    </row>
    <row r="20" spans="2:17" x14ac:dyDescent="0.35">
      <c r="B20" s="59" t="s">
        <v>113</v>
      </c>
      <c r="C20" s="59"/>
      <c r="D20" s="59"/>
      <c r="E20" s="59"/>
      <c r="F20" s="63">
        <v>-500</v>
      </c>
      <c r="G20" s="66"/>
      <c r="H20" s="110" t="s">
        <v>129</v>
      </c>
      <c r="I20" s="110"/>
      <c r="J20" s="110"/>
      <c r="K20">
        <f>H10</f>
        <v>696.32</v>
      </c>
    </row>
    <row r="21" spans="2:17" x14ac:dyDescent="0.35">
      <c r="B21" s="59" t="s">
        <v>114</v>
      </c>
      <c r="C21" s="59"/>
      <c r="D21" s="59"/>
      <c r="E21" s="59"/>
      <c r="F21" s="63">
        <v>-500</v>
      </c>
      <c r="G21" s="66"/>
      <c r="H21" s="110" t="s">
        <v>130</v>
      </c>
      <c r="I21" s="110"/>
      <c r="J21" s="110"/>
      <c r="K21">
        <f>H9</f>
        <v>200</v>
      </c>
    </row>
    <row r="22" spans="2:17" x14ac:dyDescent="0.35">
      <c r="B22" s="59" t="s">
        <v>115</v>
      </c>
      <c r="C22" s="59"/>
      <c r="D22" s="59"/>
      <c r="E22" s="59"/>
      <c r="F22" s="63">
        <v>-432</v>
      </c>
      <c r="G22" s="66"/>
      <c r="H22" s="110" t="s">
        <v>53</v>
      </c>
      <c r="I22" s="110"/>
      <c r="J22" s="110"/>
      <c r="K22" s="31">
        <f>K18+K20+K21</f>
        <v>8636.6646420118141</v>
      </c>
    </row>
    <row r="23" spans="2:17" x14ac:dyDescent="0.35">
      <c r="B23" s="59" t="s">
        <v>116</v>
      </c>
      <c r="C23" s="59"/>
      <c r="D23" s="59"/>
      <c r="E23" s="59"/>
      <c r="F23" s="63">
        <v>30</v>
      </c>
      <c r="G23" s="59"/>
    </row>
    <row r="24" spans="2:17" x14ac:dyDescent="0.35">
      <c r="B24" s="67" t="s">
        <v>117</v>
      </c>
      <c r="C24" s="59"/>
      <c r="D24" s="59"/>
      <c r="E24" s="59"/>
      <c r="F24" s="63">
        <f>SUM(F18:F23)</f>
        <v>-2552</v>
      </c>
    </row>
    <row r="26" spans="2:17" ht="27" x14ac:dyDescent="0.5">
      <c r="B26" s="59"/>
      <c r="C26" s="59"/>
      <c r="D26" s="105" t="s">
        <v>122</v>
      </c>
      <c r="E26" s="105"/>
      <c r="F26" s="105"/>
      <c r="G26" s="105"/>
      <c r="H26" s="105"/>
      <c r="I26" s="105"/>
      <c r="J26" s="105"/>
      <c r="K26" s="105"/>
      <c r="L26" s="105"/>
      <c r="M26" s="105"/>
    </row>
    <row r="30" spans="2:17" x14ac:dyDescent="0.35">
      <c r="B30" s="107" t="s">
        <v>104</v>
      </c>
      <c r="C30" s="107"/>
      <c r="D30" s="107"/>
      <c r="E30" s="30">
        <v>0.11</v>
      </c>
      <c r="H30" s="107" t="s">
        <v>104</v>
      </c>
      <c r="I30" s="107"/>
      <c r="J30" s="107"/>
      <c r="K30" s="30">
        <v>0.15</v>
      </c>
      <c r="N30" s="107" t="s">
        <v>104</v>
      </c>
      <c r="O30" s="107"/>
      <c r="P30" s="107"/>
      <c r="Q30" s="30">
        <v>0.08</v>
      </c>
    </row>
    <row r="31" spans="2:17" x14ac:dyDescent="0.35">
      <c r="B31" s="107" t="s">
        <v>108</v>
      </c>
      <c r="C31" s="107"/>
      <c r="D31" s="107"/>
      <c r="E31">
        <f>1/(1+H11)</f>
        <v>0.9009009009009008</v>
      </c>
      <c r="H31" s="107" t="s">
        <v>108</v>
      </c>
      <c r="I31" s="107"/>
      <c r="J31" s="107"/>
      <c r="K31">
        <f>1/(1+K30)</f>
        <v>0.86956521739130443</v>
      </c>
      <c r="N31" s="107" t="s">
        <v>108</v>
      </c>
      <c r="O31" s="107"/>
      <c r="P31" s="107"/>
      <c r="Q31">
        <f>1/(1+Q30)</f>
        <v>0.92592592592592582</v>
      </c>
    </row>
    <row r="34" spans="2:18" x14ac:dyDescent="0.35">
      <c r="B34" s="51" t="s">
        <v>11</v>
      </c>
      <c r="C34" s="51" t="s">
        <v>118</v>
      </c>
      <c r="D34" s="51" t="s">
        <v>97</v>
      </c>
      <c r="E34" s="51" t="s">
        <v>119</v>
      </c>
      <c r="F34" s="51" t="s">
        <v>120</v>
      </c>
      <c r="H34" s="51" t="s">
        <v>11</v>
      </c>
      <c r="I34" s="51" t="s">
        <v>118</v>
      </c>
      <c r="J34" s="51" t="s">
        <v>97</v>
      </c>
      <c r="K34" s="51" t="s">
        <v>119</v>
      </c>
      <c r="L34" s="51" t="s">
        <v>120</v>
      </c>
      <c r="N34" s="51" t="s">
        <v>11</v>
      </c>
      <c r="O34" s="51" t="s">
        <v>118</v>
      </c>
      <c r="P34" s="51" t="s">
        <v>97</v>
      </c>
      <c r="Q34" s="51" t="s">
        <v>119</v>
      </c>
      <c r="R34" s="51" t="s">
        <v>120</v>
      </c>
    </row>
    <row r="35" spans="2:18" x14ac:dyDescent="0.35">
      <c r="B35" s="17">
        <v>2022</v>
      </c>
      <c r="C35" s="17">
        <v>0</v>
      </c>
      <c r="D35" s="63">
        <v>-2552</v>
      </c>
      <c r="E35" s="17">
        <f t="shared" ref="E35:E45" si="0">$E$31^C35</f>
        <v>1</v>
      </c>
      <c r="F35" s="32">
        <f>D35*E35</f>
        <v>-2552</v>
      </c>
      <c r="H35" s="17">
        <v>2022</v>
      </c>
      <c r="I35" s="17">
        <v>0</v>
      </c>
      <c r="J35" s="63">
        <v>-2552</v>
      </c>
      <c r="K35" s="17">
        <f>$E$31^I35</f>
        <v>1</v>
      </c>
      <c r="L35" s="32">
        <f>J35*K35</f>
        <v>-2552</v>
      </c>
      <c r="N35" s="17">
        <v>2022</v>
      </c>
      <c r="O35" s="17">
        <v>0</v>
      </c>
      <c r="P35" s="63">
        <v>-2552</v>
      </c>
      <c r="Q35" s="17">
        <f>$Q$31^O35</f>
        <v>1</v>
      </c>
      <c r="R35" s="32">
        <f>P35*Q35</f>
        <v>-2552</v>
      </c>
    </row>
    <row r="36" spans="2:18" x14ac:dyDescent="0.35">
      <c r="B36" s="17">
        <v>2023</v>
      </c>
      <c r="C36" s="17">
        <v>1</v>
      </c>
      <c r="D36" s="50">
        <v>3286.8209699999989</v>
      </c>
      <c r="E36" s="17">
        <f t="shared" si="0"/>
        <v>0.9009009009009008</v>
      </c>
      <c r="F36" s="32">
        <f t="shared" ref="F36:F45" si="1">D36*E36</f>
        <v>2961.0999729729715</v>
      </c>
      <c r="H36" s="17">
        <v>2023</v>
      </c>
      <c r="I36" s="17">
        <v>1</v>
      </c>
      <c r="J36" s="50">
        <v>3286.8209699999989</v>
      </c>
      <c r="K36" s="17">
        <f>$K$31^I36</f>
        <v>0.86956521739130443</v>
      </c>
      <c r="L36" s="32">
        <f t="shared" ref="L36:L45" si="2">J36*K36</f>
        <v>2858.105191304347</v>
      </c>
      <c r="N36" s="17">
        <v>2023</v>
      </c>
      <c r="O36" s="17">
        <v>1</v>
      </c>
      <c r="P36" s="50">
        <v>3286.8209699999989</v>
      </c>
      <c r="Q36" s="17">
        <f t="shared" ref="Q36:Q45" si="3">$Q$31^O36</f>
        <v>0.92592592592592582</v>
      </c>
      <c r="R36" s="32">
        <f t="shared" ref="R36:R45" si="4">P36*Q36</f>
        <v>3043.3527499999987</v>
      </c>
    </row>
    <row r="37" spans="2:18" x14ac:dyDescent="0.35">
      <c r="B37" s="17">
        <v>2024</v>
      </c>
      <c r="C37" s="17">
        <v>2</v>
      </c>
      <c r="D37" s="50">
        <v>3613.1977450619997</v>
      </c>
      <c r="E37" s="17">
        <f t="shared" si="0"/>
        <v>0.8116224332440547</v>
      </c>
      <c r="F37" s="32">
        <f t="shared" si="1"/>
        <v>2932.552345639152</v>
      </c>
      <c r="H37" s="17">
        <v>2024</v>
      </c>
      <c r="I37" s="17">
        <v>2</v>
      </c>
      <c r="J37" s="50">
        <v>3613.1977450619997</v>
      </c>
      <c r="K37" s="17">
        <f t="shared" ref="K37:K45" si="5">$K$31^I37</f>
        <v>0.7561436672967865</v>
      </c>
      <c r="L37" s="32">
        <f t="shared" si="2"/>
        <v>2732.0965936196599</v>
      </c>
      <c r="N37" s="17">
        <v>2024</v>
      </c>
      <c r="O37" s="17">
        <v>2</v>
      </c>
      <c r="P37" s="50">
        <v>3613.1977450619997</v>
      </c>
      <c r="Q37" s="17">
        <f t="shared" si="3"/>
        <v>0.8573388203017831</v>
      </c>
      <c r="R37" s="32">
        <f t="shared" si="4"/>
        <v>3097.7346922685178</v>
      </c>
    </row>
    <row r="38" spans="2:18" x14ac:dyDescent="0.35">
      <c r="B38" s="17">
        <v>2025</v>
      </c>
      <c r="C38" s="17">
        <v>3</v>
      </c>
      <c r="D38" s="50">
        <v>3972.2918339223756</v>
      </c>
      <c r="E38" s="17">
        <f t="shared" si="0"/>
        <v>0.73119138130095007</v>
      </c>
      <c r="F38" s="32">
        <f t="shared" si="1"/>
        <v>2904.5055529761862</v>
      </c>
      <c r="H38" s="17">
        <v>2025</v>
      </c>
      <c r="I38" s="17">
        <v>3</v>
      </c>
      <c r="J38" s="50">
        <v>3972.2918339223756</v>
      </c>
      <c r="K38" s="17">
        <f t="shared" si="5"/>
        <v>0.65751623243198831</v>
      </c>
      <c r="L38" s="32">
        <f t="shared" si="2"/>
        <v>2611.8463607609938</v>
      </c>
      <c r="N38" s="17">
        <v>2025</v>
      </c>
      <c r="O38" s="17">
        <v>3</v>
      </c>
      <c r="P38" s="50">
        <v>3972.2918339223756</v>
      </c>
      <c r="Q38" s="17">
        <f t="shared" si="3"/>
        <v>0.79383224102016947</v>
      </c>
      <c r="R38" s="32">
        <f t="shared" si="4"/>
        <v>3153.3333285087183</v>
      </c>
    </row>
    <row r="39" spans="2:18" x14ac:dyDescent="0.35">
      <c r="B39" s="17">
        <v>2026</v>
      </c>
      <c r="C39" s="17">
        <v>4</v>
      </c>
      <c r="D39" s="50">
        <v>3794.3764116886896</v>
      </c>
      <c r="E39" s="17">
        <f t="shared" si="0"/>
        <v>0.65873097414500004</v>
      </c>
      <c r="F39" s="32">
        <f t="shared" si="1"/>
        <v>2499.4732699445003</v>
      </c>
      <c r="H39" s="17">
        <v>2026</v>
      </c>
      <c r="I39" s="17">
        <v>4</v>
      </c>
      <c r="J39" s="50">
        <v>3794.3764116886896</v>
      </c>
      <c r="K39" s="17">
        <f t="shared" si="5"/>
        <v>0.57175324559303331</v>
      </c>
      <c r="L39" s="32">
        <f t="shared" si="2"/>
        <v>2169.4470283846558</v>
      </c>
      <c r="N39" s="17">
        <v>2026</v>
      </c>
      <c r="O39" s="17">
        <v>4</v>
      </c>
      <c r="P39" s="50">
        <v>3794.3764116886896</v>
      </c>
      <c r="Q39" s="17">
        <f t="shared" si="3"/>
        <v>0.73502985279645316</v>
      </c>
      <c r="R39" s="32">
        <f t="shared" si="4"/>
        <v>2788.9799353378717</v>
      </c>
    </row>
    <row r="40" spans="2:18" x14ac:dyDescent="0.35">
      <c r="B40" s="17">
        <v>2027</v>
      </c>
      <c r="C40" s="17">
        <v>5</v>
      </c>
      <c r="D40" s="50">
        <v>4802.6379004641067</v>
      </c>
      <c r="E40" s="17">
        <f t="shared" si="0"/>
        <v>0.59345132805855849</v>
      </c>
      <c r="F40" s="32">
        <f t="shared" si="1"/>
        <v>2850.1318402147913</v>
      </c>
      <c r="H40" s="17">
        <v>2027</v>
      </c>
      <c r="I40" s="17">
        <v>5</v>
      </c>
      <c r="J40" s="50">
        <v>4802.6379004641067</v>
      </c>
      <c r="K40" s="17">
        <f t="shared" si="5"/>
        <v>0.49717673529828987</v>
      </c>
      <c r="L40" s="32">
        <f t="shared" si="2"/>
        <v>2387.7598321725777</v>
      </c>
      <c r="N40" s="17">
        <v>2027</v>
      </c>
      <c r="O40" s="17">
        <v>5</v>
      </c>
      <c r="P40" s="50">
        <v>4802.6379004641067</v>
      </c>
      <c r="Q40" s="17">
        <f t="shared" si="3"/>
        <v>0.68058319703375281</v>
      </c>
      <c r="R40" s="32">
        <f t="shared" si="4"/>
        <v>3268.594656493332</v>
      </c>
    </row>
    <row r="41" spans="2:18" x14ac:dyDescent="0.35">
      <c r="B41" s="17">
        <v>2028</v>
      </c>
      <c r="C41" s="17">
        <v>6</v>
      </c>
      <c r="D41" s="50">
        <v>5281.8535919229626</v>
      </c>
      <c r="E41" s="17">
        <f t="shared" si="0"/>
        <v>0.53464083608879143</v>
      </c>
      <c r="F41" s="32">
        <f t="shared" si="1"/>
        <v>2823.8946204842787</v>
      </c>
      <c r="H41" s="17">
        <v>2028</v>
      </c>
      <c r="I41" s="17">
        <v>6</v>
      </c>
      <c r="J41" s="50">
        <v>5281.8535919229626</v>
      </c>
      <c r="K41" s="17">
        <f t="shared" si="5"/>
        <v>0.43232759591155645</v>
      </c>
      <c r="L41" s="32">
        <f t="shared" si="2"/>
        <v>2283.4910653528736</v>
      </c>
      <c r="N41" s="17">
        <v>2028</v>
      </c>
      <c r="O41" s="17">
        <v>6</v>
      </c>
      <c r="P41" s="50">
        <v>5281.8535919229626</v>
      </c>
      <c r="Q41" s="17">
        <f t="shared" si="3"/>
        <v>0.63016962688310441</v>
      </c>
      <c r="R41" s="32">
        <f t="shared" si="4"/>
        <v>3328.463707273278</v>
      </c>
    </row>
    <row r="42" spans="2:18" x14ac:dyDescent="0.35">
      <c r="B42" s="17">
        <v>2029</v>
      </c>
      <c r="C42" s="17">
        <v>7</v>
      </c>
      <c r="D42" s="50">
        <v>5809.8002243297487</v>
      </c>
      <c r="E42" s="17">
        <f t="shared" si="0"/>
        <v>0.48165841089080302</v>
      </c>
      <c r="F42" s="32">
        <f t="shared" si="1"/>
        <v>2798.3391436436978</v>
      </c>
      <c r="H42" s="17">
        <v>2029</v>
      </c>
      <c r="I42" s="17">
        <v>7</v>
      </c>
      <c r="J42" s="50">
        <v>5809.8002243297487</v>
      </c>
      <c r="K42" s="17">
        <f t="shared" si="5"/>
        <v>0.37593703992309258</v>
      </c>
      <c r="L42" s="32">
        <f t="shared" si="2"/>
        <v>2184.1190988790449</v>
      </c>
      <c r="N42" s="17">
        <v>2029</v>
      </c>
      <c r="O42" s="17">
        <v>7</v>
      </c>
      <c r="P42" s="50">
        <v>5809.8002243297487</v>
      </c>
      <c r="Q42" s="17">
        <f t="shared" si="3"/>
        <v>0.58349039526213364</v>
      </c>
      <c r="R42" s="32">
        <f t="shared" si="4"/>
        <v>3389.9626292881976</v>
      </c>
    </row>
    <row r="43" spans="2:18" x14ac:dyDescent="0.35">
      <c r="B43" s="17">
        <v>2030</v>
      </c>
      <c r="C43" s="17">
        <v>8</v>
      </c>
      <c r="D43" s="50">
        <v>6391.6229339102874</v>
      </c>
      <c r="E43" s="17">
        <f t="shared" si="0"/>
        <v>0.43392649629802071</v>
      </c>
      <c r="F43" s="32">
        <f t="shared" si="1"/>
        <v>2773.4945453697665</v>
      </c>
      <c r="H43" s="17">
        <v>2030</v>
      </c>
      <c r="I43" s="17">
        <v>8</v>
      </c>
      <c r="J43" s="50">
        <v>6391.6229339102874</v>
      </c>
      <c r="K43" s="17">
        <f t="shared" si="5"/>
        <v>0.32690177384616748</v>
      </c>
      <c r="L43" s="32">
        <f t="shared" si="2"/>
        <v>2089.4328748511184</v>
      </c>
      <c r="N43" s="17">
        <v>2030</v>
      </c>
      <c r="O43" s="17">
        <v>8</v>
      </c>
      <c r="P43" s="50">
        <v>6391.6229339102874</v>
      </c>
      <c r="Q43" s="17">
        <f t="shared" si="3"/>
        <v>0.54026888450197563</v>
      </c>
      <c r="R43" s="32">
        <f t="shared" si="4"/>
        <v>3453.1949926609559</v>
      </c>
    </row>
    <row r="44" spans="2:18" x14ac:dyDescent="0.35">
      <c r="B44" s="17">
        <v>2031</v>
      </c>
      <c r="C44" s="17">
        <v>9</v>
      </c>
      <c r="D44" s="50">
        <v>7033.027832048122</v>
      </c>
      <c r="E44" s="17">
        <f t="shared" si="0"/>
        <v>0.39092477143965826</v>
      </c>
      <c r="F44" s="32">
        <f t="shared" si="1"/>
        <v>2749.3847977721675</v>
      </c>
      <c r="H44" s="17">
        <v>2031</v>
      </c>
      <c r="I44" s="17">
        <v>9</v>
      </c>
      <c r="J44" s="50">
        <v>7033.027832048122</v>
      </c>
      <c r="K44" s="17">
        <f t="shared" si="5"/>
        <v>0.28426241204014568</v>
      </c>
      <c r="L44" s="32">
        <f t="shared" si="2"/>
        <v>1999.2254554834758</v>
      </c>
      <c r="N44" s="17">
        <v>2031</v>
      </c>
      <c r="O44" s="17">
        <v>9</v>
      </c>
      <c r="P44" s="50">
        <v>7033.027832048122</v>
      </c>
      <c r="Q44" s="17">
        <f t="shared" si="3"/>
        <v>0.50024896713145883</v>
      </c>
      <c r="R44" s="32">
        <f t="shared" si="4"/>
        <v>3518.2649087888763</v>
      </c>
    </row>
    <row r="45" spans="2:18" x14ac:dyDescent="0.35">
      <c r="B45" s="17">
        <v>2032</v>
      </c>
      <c r="C45" s="17">
        <v>10</v>
      </c>
      <c r="D45" s="50">
        <v>8636.6646420118141</v>
      </c>
      <c r="E45" s="17">
        <f t="shared" si="0"/>
        <v>0.35218447877446685</v>
      </c>
      <c r="F45" s="32">
        <f t="shared" si="1"/>
        <v>3041.6992352967982</v>
      </c>
      <c r="H45" s="17">
        <v>2032</v>
      </c>
      <c r="I45" s="17">
        <v>10</v>
      </c>
      <c r="J45" s="50">
        <v>8636.6646420118141</v>
      </c>
      <c r="K45" s="17">
        <f t="shared" si="5"/>
        <v>0.2471847061218658</v>
      </c>
      <c r="L45" s="32">
        <f t="shared" si="2"/>
        <v>2134.8514114087993</v>
      </c>
      <c r="N45" s="17">
        <v>2032</v>
      </c>
      <c r="O45" s="17">
        <v>10</v>
      </c>
      <c r="P45" s="50">
        <v>8636.6646420118141</v>
      </c>
      <c r="Q45" s="17">
        <f t="shared" si="3"/>
        <v>0.46319348808468408</v>
      </c>
      <c r="R45" s="32">
        <f t="shared" si="4"/>
        <v>4000.4468209511115</v>
      </c>
    </row>
    <row r="47" spans="2:18" x14ac:dyDescent="0.35">
      <c r="B47" s="106" t="s">
        <v>121</v>
      </c>
      <c r="C47" s="106"/>
      <c r="D47" s="106"/>
      <c r="E47" s="108">
        <f>SUM(F35:F45)</f>
        <v>25782.575324314308</v>
      </c>
      <c r="H47" s="106" t="s">
        <v>121</v>
      </c>
      <c r="I47" s="106"/>
      <c r="J47" s="106"/>
      <c r="K47" s="108">
        <f>SUM(L35:L45)</f>
        <v>20898.374912217547</v>
      </c>
      <c r="N47" s="106" t="s">
        <v>121</v>
      </c>
      <c r="O47" s="106"/>
      <c r="P47" s="106"/>
      <c r="Q47" s="108">
        <f>SUM(R35:R45)</f>
        <v>30490.328421570855</v>
      </c>
    </row>
    <row r="48" spans="2:18" x14ac:dyDescent="0.35">
      <c r="B48" s="106"/>
      <c r="C48" s="106"/>
      <c r="D48" s="106"/>
      <c r="E48" s="108"/>
      <c r="H48" s="106"/>
      <c r="I48" s="106"/>
      <c r="J48" s="106"/>
      <c r="K48" s="108"/>
      <c r="N48" s="106"/>
      <c r="O48" s="106"/>
      <c r="P48" s="106"/>
      <c r="Q48" s="108"/>
    </row>
    <row r="50" spans="2:8" ht="14.5" customHeight="1" x14ac:dyDescent="0.35">
      <c r="B50" s="69" t="s">
        <v>104</v>
      </c>
      <c r="C50" s="69" t="s">
        <v>121</v>
      </c>
      <c r="G50" s="68"/>
      <c r="H50" s="68"/>
    </row>
    <row r="51" spans="2:8" ht="14.5" customHeight="1" x14ac:dyDescent="0.35">
      <c r="B51" s="69">
        <v>0.08</v>
      </c>
      <c r="C51" s="69">
        <v>30490.328000000001</v>
      </c>
      <c r="G51" s="68"/>
      <c r="H51" s="68"/>
    </row>
    <row r="52" spans="2:8" ht="14.5" customHeight="1" x14ac:dyDescent="0.35">
      <c r="B52" s="69">
        <v>0.11</v>
      </c>
      <c r="C52" s="69">
        <v>25782.575000000001</v>
      </c>
    </row>
    <row r="53" spans="2:8" ht="15.5" x14ac:dyDescent="0.35">
      <c r="B53" s="69">
        <v>0.15</v>
      </c>
      <c r="C53" s="69">
        <v>20898.375</v>
      </c>
    </row>
    <row r="67" spans="4:14" ht="27" x14ac:dyDescent="0.5">
      <c r="E67" s="105" t="s">
        <v>123</v>
      </c>
      <c r="F67" s="105"/>
      <c r="G67" s="105"/>
      <c r="H67" s="105"/>
      <c r="I67" s="105"/>
      <c r="J67" s="105"/>
      <c r="K67" s="105"/>
      <c r="L67" s="105"/>
      <c r="M67" s="105"/>
      <c r="N67" s="105"/>
    </row>
    <row r="70" spans="4:14" x14ac:dyDescent="0.35">
      <c r="D70" s="70" t="s">
        <v>124</v>
      </c>
      <c r="E70" s="71">
        <v>1.37784653129288</v>
      </c>
    </row>
    <row r="71" spans="4:14" x14ac:dyDescent="0.35">
      <c r="D71" t="s">
        <v>119</v>
      </c>
      <c r="E71">
        <f>1/(1+E70)</f>
        <v>0.42054858748864721</v>
      </c>
    </row>
    <row r="72" spans="4:14" x14ac:dyDescent="0.35">
      <c r="D72" t="s">
        <v>125</v>
      </c>
      <c r="E72">
        <v>0</v>
      </c>
    </row>
    <row r="74" spans="4:14" x14ac:dyDescent="0.35">
      <c r="D74" s="51" t="s">
        <v>11</v>
      </c>
      <c r="E74" s="51" t="s">
        <v>118</v>
      </c>
      <c r="F74" s="51" t="s">
        <v>97</v>
      </c>
      <c r="G74" s="51" t="s">
        <v>119</v>
      </c>
      <c r="H74" s="51" t="s">
        <v>120</v>
      </c>
    </row>
    <row r="75" spans="4:14" x14ac:dyDescent="0.35">
      <c r="D75" s="17">
        <v>2022</v>
      </c>
      <c r="E75" s="17">
        <v>0</v>
      </c>
      <c r="F75" s="63">
        <v>-2552</v>
      </c>
      <c r="G75" s="17">
        <f>$E$71^E75</f>
        <v>1</v>
      </c>
      <c r="H75" s="32">
        <f>F75*G75</f>
        <v>-2552</v>
      </c>
    </row>
    <row r="76" spans="4:14" x14ac:dyDescent="0.35">
      <c r="D76" s="17">
        <v>2023</v>
      </c>
      <c r="E76" s="17">
        <v>1</v>
      </c>
      <c r="F76" s="50">
        <v>3286.8209699999989</v>
      </c>
      <c r="G76" s="17">
        <f t="shared" ref="G76:G85" si="6">$E$71^E76</f>
        <v>0.42054858748864721</v>
      </c>
      <c r="H76" s="32">
        <f t="shared" ref="H76:H85" si="7">F76*G76</f>
        <v>1382.2679162615648</v>
      </c>
    </row>
    <row r="77" spans="4:14" x14ac:dyDescent="0.35">
      <c r="D77" s="17">
        <v>2024</v>
      </c>
      <c r="E77" s="17">
        <v>2</v>
      </c>
      <c r="F77" s="50">
        <v>3613.1977450619997</v>
      </c>
      <c r="G77" s="17">
        <f t="shared" si="6"/>
        <v>0.17686111443869634</v>
      </c>
      <c r="H77" s="32">
        <f t="shared" si="7"/>
        <v>639.03417987904993</v>
      </c>
    </row>
    <row r="78" spans="4:14" x14ac:dyDescent="0.35">
      <c r="D78" s="17">
        <v>2025</v>
      </c>
      <c r="E78" s="17">
        <v>3</v>
      </c>
      <c r="F78" s="50">
        <v>3972.2918339223756</v>
      </c>
      <c r="G78" s="17">
        <f t="shared" si="6"/>
        <v>7.4378691858861729E-2</v>
      </c>
      <c r="H78" s="32">
        <f t="shared" si="7"/>
        <v>295.45387028878514</v>
      </c>
    </row>
    <row r="79" spans="4:14" x14ac:dyDescent="0.35">
      <c r="D79" s="17">
        <v>2026</v>
      </c>
      <c r="E79" s="17">
        <v>4</v>
      </c>
      <c r="F79" s="50">
        <v>3794.3764116886896</v>
      </c>
      <c r="G79" s="17">
        <f t="shared" si="6"/>
        <v>3.1279853800497644E-2</v>
      </c>
      <c r="H79" s="32">
        <f t="shared" si="7"/>
        <v>118.68753942167906</v>
      </c>
    </row>
    <row r="80" spans="4:14" x14ac:dyDescent="0.35">
      <c r="D80" s="17">
        <v>2027</v>
      </c>
      <c r="E80" s="17">
        <v>5</v>
      </c>
      <c r="F80" s="50">
        <v>4802.6379004641067</v>
      </c>
      <c r="G80" s="17">
        <f t="shared" si="6"/>
        <v>1.3154698332650677E-2</v>
      </c>
      <c r="H80" s="32">
        <f t="shared" si="7"/>
        <v>63.177252781560135</v>
      </c>
    </row>
    <row r="81" spans="4:8" x14ac:dyDescent="0.35">
      <c r="D81" s="17">
        <v>2028</v>
      </c>
      <c r="E81" s="17">
        <v>6</v>
      </c>
      <c r="F81" s="50">
        <v>5281.8535919229626</v>
      </c>
      <c r="G81" s="17">
        <f t="shared" si="6"/>
        <v>5.5321898026355048E-3</v>
      </c>
      <c r="H81" s="32">
        <f t="shared" si="7"/>
        <v>29.220216580249925</v>
      </c>
    </row>
    <row r="82" spans="4:8" x14ac:dyDescent="0.35">
      <c r="D82" s="17">
        <v>2029</v>
      </c>
      <c r="E82" s="17">
        <v>7</v>
      </c>
      <c r="F82" s="50">
        <v>5809.8002243297487</v>
      </c>
      <c r="G82" s="17">
        <f t="shared" si="6"/>
        <v>2.3265546072174592E-3</v>
      </c>
      <c r="H82" s="32">
        <f t="shared" si="7"/>
        <v>13.516817478927406</v>
      </c>
    </row>
    <row r="83" spans="4:8" x14ac:dyDescent="0.35">
      <c r="D83" s="17">
        <v>2030</v>
      </c>
      <c r="E83" s="17">
        <v>8</v>
      </c>
      <c r="F83" s="50">
        <v>6391.6229339102874</v>
      </c>
      <c r="G83" s="17">
        <f t="shared" si="6"/>
        <v>9.7842925378050687E-4</v>
      </c>
      <c r="H83" s="32">
        <f t="shared" si="7"/>
        <v>6.2537508576722169</v>
      </c>
    </row>
    <row r="84" spans="4:8" x14ac:dyDescent="0.35">
      <c r="D84" s="17">
        <v>2031</v>
      </c>
      <c r="E84" s="17">
        <v>9</v>
      </c>
      <c r="F84" s="50">
        <v>7033.027832048122</v>
      </c>
      <c r="G84" s="17">
        <f t="shared" si="6"/>
        <v>4.1147704063496332E-4</v>
      </c>
      <c r="H84" s="32">
        <f t="shared" si="7"/>
        <v>2.8939294790344929</v>
      </c>
    </row>
    <row r="85" spans="4:8" x14ac:dyDescent="0.35">
      <c r="D85" s="17">
        <v>2032</v>
      </c>
      <c r="E85" s="17">
        <v>10</v>
      </c>
      <c r="F85" s="50">
        <v>8636.6646420118141</v>
      </c>
      <c r="G85" s="17">
        <f t="shared" si="6"/>
        <v>1.730460882230425E-4</v>
      </c>
      <c r="H85" s="32">
        <f t="shared" si="7"/>
        <v>1.4945410315944081</v>
      </c>
    </row>
    <row r="87" spans="4:8" x14ac:dyDescent="0.35">
      <c r="G87" t="s">
        <v>53</v>
      </c>
      <c r="H87" s="3">
        <f>SUM(H75:H85)</f>
        <v>1.4060117494496538E-5</v>
      </c>
    </row>
    <row r="89" spans="4:8" x14ac:dyDescent="0.35">
      <c r="D89" s="106" t="s">
        <v>123</v>
      </c>
      <c r="E89" s="106"/>
      <c r="F89" s="106"/>
      <c r="G89" s="104">
        <v>1.3777999999999999</v>
      </c>
      <c r="H89" s="104"/>
    </row>
    <row r="90" spans="4:8" x14ac:dyDescent="0.35">
      <c r="D90" s="106"/>
      <c r="E90" s="106"/>
      <c r="F90" s="106"/>
      <c r="G90" s="104"/>
      <c r="H90" s="104"/>
    </row>
  </sheetData>
  <mergeCells count="31">
    <mergeCell ref="B2:N3"/>
    <mergeCell ref="C5:P5"/>
    <mergeCell ref="B11:G11"/>
    <mergeCell ref="B12:G12"/>
    <mergeCell ref="B13:G13"/>
    <mergeCell ref="B9:G9"/>
    <mergeCell ref="B10:G10"/>
    <mergeCell ref="B15:G15"/>
    <mergeCell ref="Q47:Q48"/>
    <mergeCell ref="B47:D48"/>
    <mergeCell ref="E47:E48"/>
    <mergeCell ref="D26:M26"/>
    <mergeCell ref="B30:D30"/>
    <mergeCell ref="H30:J30"/>
    <mergeCell ref="H31:J31"/>
    <mergeCell ref="B31:D31"/>
    <mergeCell ref="H18:J18"/>
    <mergeCell ref="H20:J20"/>
    <mergeCell ref="H21:J21"/>
    <mergeCell ref="H22:J22"/>
    <mergeCell ref="B18:E18"/>
    <mergeCell ref="B19:E19"/>
    <mergeCell ref="H89:H90"/>
    <mergeCell ref="E67:N67"/>
    <mergeCell ref="D89:F90"/>
    <mergeCell ref="G89:G90"/>
    <mergeCell ref="N30:P30"/>
    <mergeCell ref="N31:P31"/>
    <mergeCell ref="H47:J48"/>
    <mergeCell ref="K47:K48"/>
    <mergeCell ref="N47:P4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5D464-70DC-4591-A1AC-F047313C8749}">
  <dimension ref="A2:R524"/>
  <sheetViews>
    <sheetView zoomScale="70" zoomScaleNormal="70" workbookViewId="0">
      <selection activeCell="E523" sqref="E523"/>
    </sheetView>
  </sheetViews>
  <sheetFormatPr defaultRowHeight="14.5" x14ac:dyDescent="0.35"/>
  <cols>
    <col min="2" max="2" width="40.36328125" customWidth="1"/>
    <col min="3" max="3" width="22.26953125" bestFit="1" customWidth="1"/>
    <col min="4" max="4" width="23.08984375" bestFit="1" customWidth="1"/>
    <col min="5" max="5" width="23.453125" bestFit="1" customWidth="1"/>
    <col min="6" max="6" width="23.90625" bestFit="1" customWidth="1"/>
    <col min="7" max="7" width="18.54296875" bestFit="1" customWidth="1"/>
    <col min="8" max="8" width="13.6328125" bestFit="1" customWidth="1"/>
    <col min="9" max="9" width="14" bestFit="1" customWidth="1"/>
    <col min="10" max="10" width="28.90625" bestFit="1" customWidth="1"/>
    <col min="11" max="11" width="28.81640625" bestFit="1" customWidth="1"/>
    <col min="12" max="12" width="27.81640625" bestFit="1" customWidth="1"/>
    <col min="13" max="13" width="31.453125" bestFit="1" customWidth="1"/>
    <col min="15" max="15" width="49.81640625" bestFit="1" customWidth="1"/>
    <col min="16" max="16" width="47.54296875" bestFit="1" customWidth="1"/>
    <col min="17" max="17" width="28.81640625" bestFit="1" customWidth="1"/>
    <col min="18" max="18" width="27.81640625" bestFit="1" customWidth="1"/>
    <col min="19" max="19" width="30.54296875" bestFit="1" customWidth="1"/>
  </cols>
  <sheetData>
    <row r="2" spans="1:9" ht="34.5" customHeight="1" x14ac:dyDescent="0.85">
      <c r="A2" s="12"/>
      <c r="B2" s="115" t="s">
        <v>0</v>
      </c>
      <c r="C2" s="115"/>
      <c r="D2" s="115"/>
      <c r="E2" s="115"/>
      <c r="F2" s="12"/>
      <c r="G2" s="12"/>
      <c r="H2" s="12"/>
      <c r="I2" s="12"/>
    </row>
    <row r="3" spans="1:9" x14ac:dyDescent="0.35">
      <c r="B3" s="115"/>
      <c r="C3" s="115"/>
      <c r="D3" s="115"/>
      <c r="E3" s="115"/>
      <c r="F3" s="2"/>
      <c r="G3" s="2"/>
      <c r="H3" s="2"/>
    </row>
    <row r="4" spans="1:9" ht="13.5" customHeight="1" x14ac:dyDescent="0.6">
      <c r="A4" s="13"/>
      <c r="B4" s="13"/>
      <c r="C4" s="13"/>
      <c r="D4" s="13"/>
      <c r="E4" s="13"/>
      <c r="F4" s="13"/>
      <c r="H4" s="13"/>
    </row>
    <row r="5" spans="1:9" ht="29" x14ac:dyDescent="0.6">
      <c r="A5" s="1"/>
      <c r="B5" s="116" t="s">
        <v>32</v>
      </c>
      <c r="C5" s="116"/>
      <c r="D5" s="116"/>
      <c r="E5" s="116"/>
      <c r="F5" s="13"/>
      <c r="G5" s="13"/>
      <c r="H5" s="13"/>
    </row>
    <row r="6" spans="1:9" ht="14" customHeight="1" x14ac:dyDescent="0.6">
      <c r="A6" s="13"/>
      <c r="B6" s="13"/>
      <c r="C6" s="13"/>
      <c r="D6" s="13"/>
      <c r="E6" s="13"/>
      <c r="F6" s="13"/>
      <c r="G6" s="2"/>
      <c r="H6" s="2"/>
    </row>
    <row r="7" spans="1:9" ht="24.5" customHeight="1" x14ac:dyDescent="0.6">
      <c r="B7" s="102" t="s">
        <v>134</v>
      </c>
      <c r="C7" s="102"/>
      <c r="D7" s="102"/>
      <c r="E7" s="102"/>
    </row>
    <row r="8" spans="1:9" ht="24.5" customHeight="1" x14ac:dyDescent="0.6">
      <c r="B8" s="11"/>
      <c r="C8" s="11"/>
      <c r="D8" s="11"/>
      <c r="E8" s="11"/>
    </row>
    <row r="10" spans="1:9" x14ac:dyDescent="0.35">
      <c r="B10" s="88" t="s">
        <v>13</v>
      </c>
      <c r="C10" s="89"/>
      <c r="D10" s="89"/>
      <c r="E10" s="89"/>
      <c r="F10" s="89"/>
      <c r="G10" s="89"/>
      <c r="H10" s="89"/>
    </row>
    <row r="11" spans="1:9" x14ac:dyDescent="0.35">
      <c r="B11" s="89"/>
      <c r="C11" s="89"/>
      <c r="D11" s="89"/>
      <c r="E11" s="89"/>
      <c r="F11" s="89"/>
      <c r="G11" s="89"/>
      <c r="H11" s="89"/>
    </row>
    <row r="13" spans="1:9" ht="22.5" x14ac:dyDescent="0.65">
      <c r="B13" s="72"/>
      <c r="C13" s="73" t="s">
        <v>5</v>
      </c>
      <c r="D13" s="73" t="s">
        <v>3</v>
      </c>
      <c r="E13" s="73" t="s">
        <v>4</v>
      </c>
    </row>
    <row r="14" spans="1:9" ht="22.5" x14ac:dyDescent="0.65">
      <c r="B14" s="73" t="s">
        <v>1</v>
      </c>
      <c r="C14" s="73" t="s">
        <v>6</v>
      </c>
      <c r="D14" s="74" t="s">
        <v>131</v>
      </c>
      <c r="E14" s="74">
        <v>0.05</v>
      </c>
    </row>
    <row r="15" spans="1:9" ht="22.5" x14ac:dyDescent="0.65">
      <c r="B15" s="73" t="s">
        <v>2</v>
      </c>
      <c r="C15" s="73" t="s">
        <v>7</v>
      </c>
      <c r="D15" s="74">
        <v>0.08</v>
      </c>
      <c r="E15" s="74">
        <v>0.1</v>
      </c>
    </row>
    <row r="17" spans="1:11" ht="18" x14ac:dyDescent="0.35">
      <c r="B17" s="94" t="s">
        <v>15</v>
      </c>
      <c r="C17" s="94"/>
      <c r="D17" s="94"/>
      <c r="F17" s="94" t="s">
        <v>14</v>
      </c>
      <c r="G17" s="94"/>
      <c r="H17" s="94"/>
      <c r="J17" s="94" t="s">
        <v>17</v>
      </c>
      <c r="K17" s="94"/>
    </row>
    <row r="18" spans="1:11" x14ac:dyDescent="0.35">
      <c r="A18" s="95"/>
      <c r="B18" s="95"/>
      <c r="C18" s="95"/>
      <c r="D18" s="95"/>
      <c r="E18" s="95"/>
      <c r="F18" s="95"/>
    </row>
    <row r="19" spans="1:11" x14ac:dyDescent="0.35">
      <c r="B19" s="10" t="s">
        <v>12</v>
      </c>
      <c r="C19" s="10" t="s">
        <v>3</v>
      </c>
      <c r="D19" s="10" t="s">
        <v>4</v>
      </c>
      <c r="F19" s="10" t="s">
        <v>12</v>
      </c>
      <c r="G19" s="10" t="s">
        <v>3</v>
      </c>
      <c r="H19" s="10" t="s">
        <v>4</v>
      </c>
      <c r="J19" s="10" t="s">
        <v>12</v>
      </c>
      <c r="K19" s="15" t="s">
        <v>16</v>
      </c>
    </row>
    <row r="20" spans="1:11" x14ac:dyDescent="0.35">
      <c r="B20" s="8">
        <v>2022</v>
      </c>
      <c r="C20" s="9">
        <v>45</v>
      </c>
      <c r="D20" s="9">
        <v>45</v>
      </c>
      <c r="F20" s="8">
        <v>2022</v>
      </c>
      <c r="G20" s="9">
        <v>30</v>
      </c>
      <c r="H20" s="9">
        <v>30</v>
      </c>
      <c r="J20" s="8">
        <v>2022</v>
      </c>
      <c r="K20" s="17">
        <v>0</v>
      </c>
    </row>
    <row r="21" spans="1:11" x14ac:dyDescent="0.35">
      <c r="B21" s="8">
        <v>2023</v>
      </c>
      <c r="C21" s="9">
        <f>C20*(1+5%)</f>
        <v>47.25</v>
      </c>
      <c r="D21" s="9">
        <f>D20*(1+5%)</f>
        <v>47.25</v>
      </c>
      <c r="F21" s="8">
        <v>2023</v>
      </c>
      <c r="G21" s="9">
        <f>G20*(1+8%)</f>
        <v>32.400000000000006</v>
      </c>
      <c r="H21" s="9">
        <f>H20*(1+10%)</f>
        <v>33</v>
      </c>
      <c r="J21" s="8">
        <v>2023</v>
      </c>
      <c r="K21" s="9">
        <v>5</v>
      </c>
    </row>
    <row r="22" spans="1:11" x14ac:dyDescent="0.35">
      <c r="B22" s="8">
        <v>2024</v>
      </c>
      <c r="C22" s="9">
        <f t="shared" ref="C22:D30" si="0">C21*(1+5%)</f>
        <v>49.612500000000004</v>
      </c>
      <c r="D22" s="9">
        <f t="shared" si="0"/>
        <v>49.612500000000004</v>
      </c>
      <c r="F22" s="8">
        <v>2024</v>
      </c>
      <c r="G22" s="9">
        <f t="shared" ref="G22:G30" si="1">G21*(1+8%)</f>
        <v>34.992000000000012</v>
      </c>
      <c r="H22" s="9">
        <f t="shared" ref="H22:H30" si="2">H21*(1+10%)</f>
        <v>36.300000000000004</v>
      </c>
      <c r="J22" s="8">
        <v>2024</v>
      </c>
      <c r="K22" s="9">
        <f>K21*(1+8%)</f>
        <v>5.4</v>
      </c>
    </row>
    <row r="23" spans="1:11" x14ac:dyDescent="0.35">
      <c r="B23" s="8">
        <v>2025</v>
      </c>
      <c r="C23" s="9">
        <f t="shared" si="0"/>
        <v>52.093125000000008</v>
      </c>
      <c r="D23" s="9">
        <f t="shared" si="0"/>
        <v>52.093125000000008</v>
      </c>
      <c r="F23" s="8">
        <v>2025</v>
      </c>
      <c r="G23" s="9">
        <f t="shared" si="1"/>
        <v>37.791360000000012</v>
      </c>
      <c r="H23" s="9">
        <f t="shared" si="2"/>
        <v>39.930000000000007</v>
      </c>
      <c r="J23" s="8">
        <v>2025</v>
      </c>
      <c r="K23" s="9">
        <f t="shared" ref="K23:K30" si="3">K22*(1+8%)</f>
        <v>5.8320000000000007</v>
      </c>
    </row>
    <row r="24" spans="1:11" x14ac:dyDescent="0.35">
      <c r="B24" s="8">
        <v>2026</v>
      </c>
      <c r="C24" s="9">
        <f t="shared" si="0"/>
        <v>54.697781250000013</v>
      </c>
      <c r="D24" s="9">
        <f t="shared" si="0"/>
        <v>54.697781250000013</v>
      </c>
      <c r="F24" s="8">
        <v>2026</v>
      </c>
      <c r="G24" s="9">
        <f t="shared" si="1"/>
        <v>40.814668800000014</v>
      </c>
      <c r="H24" s="9">
        <f t="shared" si="2"/>
        <v>43.923000000000009</v>
      </c>
      <c r="J24" s="8">
        <v>2026</v>
      </c>
      <c r="K24" s="9">
        <f t="shared" si="3"/>
        <v>6.298560000000001</v>
      </c>
    </row>
    <row r="25" spans="1:11" x14ac:dyDescent="0.35">
      <c r="B25" s="8">
        <v>2027</v>
      </c>
      <c r="C25" s="9">
        <f t="shared" si="0"/>
        <v>57.432670312500015</v>
      </c>
      <c r="D25" s="9">
        <f t="shared" si="0"/>
        <v>57.432670312500015</v>
      </c>
      <c r="F25" s="8">
        <v>2027</v>
      </c>
      <c r="G25" s="9">
        <f t="shared" si="1"/>
        <v>44.079842304000017</v>
      </c>
      <c r="H25" s="9">
        <f t="shared" si="2"/>
        <v>48.315300000000015</v>
      </c>
      <c r="J25" s="8">
        <v>2027</v>
      </c>
      <c r="K25" s="9">
        <f t="shared" si="3"/>
        <v>6.8024448000000017</v>
      </c>
    </row>
    <row r="26" spans="1:11" x14ac:dyDescent="0.35">
      <c r="B26" s="8">
        <v>2028</v>
      </c>
      <c r="C26" s="9">
        <f t="shared" si="0"/>
        <v>60.304303828125022</v>
      </c>
      <c r="D26" s="9">
        <f t="shared" si="0"/>
        <v>60.304303828125022</v>
      </c>
      <c r="F26" s="8">
        <v>2028</v>
      </c>
      <c r="G26" s="9">
        <f t="shared" si="1"/>
        <v>47.60622968832002</v>
      </c>
      <c r="H26" s="9">
        <f t="shared" si="2"/>
        <v>53.146830000000023</v>
      </c>
      <c r="J26" s="8">
        <v>2028</v>
      </c>
      <c r="K26" s="9">
        <f t="shared" si="3"/>
        <v>7.3466403840000023</v>
      </c>
    </row>
    <row r="27" spans="1:11" x14ac:dyDescent="0.35">
      <c r="B27" s="8">
        <v>2029</v>
      </c>
      <c r="C27" s="9">
        <f t="shared" si="0"/>
        <v>63.319519019531278</v>
      </c>
      <c r="D27" s="9">
        <f t="shared" si="0"/>
        <v>63.319519019531278</v>
      </c>
      <c r="F27" s="8">
        <v>2029</v>
      </c>
      <c r="G27" s="9">
        <f t="shared" si="1"/>
        <v>51.414728063385624</v>
      </c>
      <c r="H27" s="9">
        <f t="shared" si="2"/>
        <v>58.461513000000032</v>
      </c>
      <c r="J27" s="8">
        <v>2029</v>
      </c>
      <c r="K27" s="9">
        <f t="shared" si="3"/>
        <v>7.9343716147200034</v>
      </c>
    </row>
    <row r="28" spans="1:11" x14ac:dyDescent="0.35">
      <c r="B28" s="8">
        <v>2030</v>
      </c>
      <c r="C28" s="9">
        <f t="shared" si="0"/>
        <v>66.485494970507844</v>
      </c>
      <c r="D28" s="9">
        <f t="shared" si="0"/>
        <v>66.485494970507844</v>
      </c>
      <c r="F28" s="8">
        <v>2030</v>
      </c>
      <c r="G28" s="9">
        <f t="shared" si="1"/>
        <v>55.52790630845648</v>
      </c>
      <c r="H28" s="9">
        <f t="shared" si="2"/>
        <v>64.307664300000042</v>
      </c>
      <c r="J28" s="8">
        <v>2030</v>
      </c>
      <c r="K28" s="9">
        <f t="shared" si="3"/>
        <v>8.5691213438976046</v>
      </c>
    </row>
    <row r="29" spans="1:11" x14ac:dyDescent="0.35">
      <c r="B29" s="8">
        <v>2031</v>
      </c>
      <c r="C29" s="9">
        <f t="shared" si="0"/>
        <v>69.809769719033241</v>
      </c>
      <c r="D29" s="9">
        <f t="shared" si="0"/>
        <v>69.809769719033241</v>
      </c>
      <c r="F29" s="8">
        <v>2031</v>
      </c>
      <c r="G29" s="9">
        <f t="shared" si="1"/>
        <v>59.970138813133005</v>
      </c>
      <c r="H29" s="9">
        <f t="shared" si="2"/>
        <v>70.738430730000047</v>
      </c>
      <c r="J29" s="8">
        <v>2031</v>
      </c>
      <c r="K29" s="9">
        <f t="shared" si="3"/>
        <v>9.2546510514094145</v>
      </c>
    </row>
    <row r="30" spans="1:11" x14ac:dyDescent="0.35">
      <c r="B30" s="8">
        <v>2032</v>
      </c>
      <c r="C30" s="9">
        <f t="shared" si="0"/>
        <v>73.3002582049849</v>
      </c>
      <c r="D30" s="9">
        <f t="shared" si="0"/>
        <v>73.3002582049849</v>
      </c>
      <c r="F30" s="8">
        <v>2032</v>
      </c>
      <c r="G30" s="9">
        <f t="shared" si="1"/>
        <v>64.767749918183654</v>
      </c>
      <c r="H30" s="9">
        <f t="shared" si="2"/>
        <v>77.812273803000053</v>
      </c>
      <c r="J30" s="8">
        <v>2032</v>
      </c>
      <c r="K30" s="9">
        <f t="shared" si="3"/>
        <v>9.9950231355221675</v>
      </c>
    </row>
    <row r="31" spans="1:11" x14ac:dyDescent="0.35">
      <c r="B31" s="8">
        <v>2033</v>
      </c>
      <c r="C31" s="9">
        <v>73.3002582049849</v>
      </c>
      <c r="D31" s="9">
        <f t="shared" ref="D31:D36" si="4">D30*(1+5%)</f>
        <v>76.965271115234145</v>
      </c>
      <c r="F31" s="8">
        <v>2033</v>
      </c>
      <c r="G31" s="9">
        <f t="shared" ref="G31:G40" si="5">G30*(1+8%)</f>
        <v>69.94916991163835</v>
      </c>
      <c r="H31" s="9">
        <f t="shared" ref="H31:H40" si="6">H30*(1+10%)</f>
        <v>85.593501183300063</v>
      </c>
      <c r="J31" s="8">
        <v>2033</v>
      </c>
      <c r="K31" s="9">
        <f t="shared" ref="K31:K40" si="7">K30*(1+8%)</f>
        <v>10.794624986363942</v>
      </c>
    </row>
    <row r="32" spans="1:11" x14ac:dyDescent="0.35">
      <c r="B32" s="8">
        <v>2034</v>
      </c>
      <c r="C32" s="9">
        <v>73.3002582049849</v>
      </c>
      <c r="D32" s="9">
        <f t="shared" si="4"/>
        <v>80.81353467099585</v>
      </c>
      <c r="F32" s="8">
        <v>2034</v>
      </c>
      <c r="G32" s="9">
        <f t="shared" si="5"/>
        <v>75.545103504569425</v>
      </c>
      <c r="H32" s="9">
        <f t="shared" si="6"/>
        <v>94.152851301630079</v>
      </c>
      <c r="J32" s="8">
        <v>2034</v>
      </c>
      <c r="K32" s="9">
        <f t="shared" si="7"/>
        <v>11.658194985273058</v>
      </c>
    </row>
    <row r="33" spans="2:11" x14ac:dyDescent="0.35">
      <c r="B33" s="8">
        <v>2035</v>
      </c>
      <c r="C33" s="9">
        <v>73.3002582049849</v>
      </c>
      <c r="D33" s="9">
        <f t="shared" si="4"/>
        <v>84.854211404545651</v>
      </c>
      <c r="F33" s="8">
        <v>2035</v>
      </c>
      <c r="G33" s="9">
        <f t="shared" si="5"/>
        <v>81.588711784934986</v>
      </c>
      <c r="H33" s="9">
        <f t="shared" si="6"/>
        <v>103.56813643179309</v>
      </c>
      <c r="J33" s="8">
        <v>2035</v>
      </c>
      <c r="K33" s="9">
        <f t="shared" si="7"/>
        <v>12.590850584094904</v>
      </c>
    </row>
    <row r="34" spans="2:11" x14ac:dyDescent="0.35">
      <c r="B34" s="8">
        <v>2036</v>
      </c>
      <c r="C34" s="9">
        <v>73.3002582049849</v>
      </c>
      <c r="D34" s="9">
        <f t="shared" si="4"/>
        <v>89.09692197477294</v>
      </c>
      <c r="F34" s="8">
        <v>2036</v>
      </c>
      <c r="G34" s="9">
        <f t="shared" si="5"/>
        <v>88.115808727729785</v>
      </c>
      <c r="H34" s="9">
        <f t="shared" si="6"/>
        <v>113.92495007497241</v>
      </c>
      <c r="J34" s="8">
        <v>2036</v>
      </c>
      <c r="K34" s="9">
        <f t="shared" si="7"/>
        <v>13.598118630822498</v>
      </c>
    </row>
    <row r="35" spans="2:11" x14ac:dyDescent="0.35">
      <c r="B35" s="8">
        <v>2037</v>
      </c>
      <c r="C35" s="9">
        <v>73.3002582049849</v>
      </c>
      <c r="D35" s="9">
        <f t="shared" si="4"/>
        <v>93.551768073511596</v>
      </c>
      <c r="F35" s="8">
        <v>2037</v>
      </c>
      <c r="G35" s="9">
        <f t="shared" si="5"/>
        <v>95.165073425948179</v>
      </c>
      <c r="H35" s="9">
        <f t="shared" si="6"/>
        <v>125.31744508246966</v>
      </c>
      <c r="J35" s="8">
        <v>2037</v>
      </c>
      <c r="K35" s="9">
        <f t="shared" si="7"/>
        <v>14.685968121288299</v>
      </c>
    </row>
    <row r="36" spans="2:11" x14ac:dyDescent="0.35">
      <c r="B36" s="8">
        <v>2038</v>
      </c>
      <c r="C36" s="9">
        <v>73.3002582049849</v>
      </c>
      <c r="D36" s="9">
        <f t="shared" si="4"/>
        <v>98.229356477187181</v>
      </c>
      <c r="F36" s="8">
        <v>2038</v>
      </c>
      <c r="G36" s="9">
        <f t="shared" si="5"/>
        <v>102.77827930002404</v>
      </c>
      <c r="H36" s="9">
        <f t="shared" si="6"/>
        <v>137.84918959071663</v>
      </c>
      <c r="J36" s="8">
        <v>2038</v>
      </c>
      <c r="K36" s="9">
        <f t="shared" si="7"/>
        <v>15.860845570991364</v>
      </c>
    </row>
    <row r="37" spans="2:11" x14ac:dyDescent="0.35">
      <c r="B37" s="8">
        <v>2039</v>
      </c>
      <c r="C37" s="9">
        <v>73.3002582049849</v>
      </c>
      <c r="D37" s="9">
        <f t="shared" ref="D37:D40" si="8">D36*(1+5%)</f>
        <v>103.14082430104655</v>
      </c>
      <c r="F37" s="8">
        <v>2039</v>
      </c>
      <c r="G37" s="9">
        <f t="shared" si="5"/>
        <v>111.00054164402597</v>
      </c>
      <c r="H37" s="9">
        <f t="shared" si="6"/>
        <v>151.63410854978832</v>
      </c>
      <c r="J37" s="8">
        <v>2039</v>
      </c>
      <c r="K37" s="9">
        <f t="shared" si="7"/>
        <v>17.129713216670673</v>
      </c>
    </row>
    <row r="38" spans="2:11" x14ac:dyDescent="0.35">
      <c r="B38" s="8">
        <v>2040</v>
      </c>
      <c r="C38" s="9">
        <v>73.3002582049849</v>
      </c>
      <c r="D38" s="9">
        <f t="shared" si="8"/>
        <v>108.29786551609888</v>
      </c>
      <c r="F38" s="8">
        <v>2040</v>
      </c>
      <c r="G38" s="9">
        <f t="shared" si="5"/>
        <v>119.88058497554806</v>
      </c>
      <c r="H38" s="9">
        <f t="shared" si="6"/>
        <v>166.79751940476717</v>
      </c>
      <c r="J38" s="8">
        <v>2040</v>
      </c>
      <c r="K38" s="9">
        <f t="shared" si="7"/>
        <v>18.500090274004329</v>
      </c>
    </row>
    <row r="39" spans="2:11" x14ac:dyDescent="0.35">
      <c r="B39" s="8">
        <v>2041</v>
      </c>
      <c r="C39" s="9">
        <v>73.3002582049849</v>
      </c>
      <c r="D39" s="9">
        <f t="shared" si="8"/>
        <v>113.71275879190382</v>
      </c>
      <c r="F39" s="8">
        <v>2041</v>
      </c>
      <c r="G39" s="9">
        <f t="shared" si="5"/>
        <v>129.4710317735919</v>
      </c>
      <c r="H39" s="9">
        <f t="shared" si="6"/>
        <v>183.47727134524391</v>
      </c>
      <c r="J39" s="8">
        <v>2041</v>
      </c>
      <c r="K39" s="9">
        <f t="shared" si="7"/>
        <v>19.980097495924678</v>
      </c>
    </row>
    <row r="40" spans="2:11" x14ac:dyDescent="0.35">
      <c r="B40" s="8">
        <v>2042</v>
      </c>
      <c r="C40" s="9">
        <v>73.3002582049849</v>
      </c>
      <c r="D40" s="9">
        <f t="shared" si="8"/>
        <v>119.39839673149902</v>
      </c>
      <c r="F40" s="8">
        <v>2042</v>
      </c>
      <c r="G40" s="9">
        <f t="shared" si="5"/>
        <v>139.82871431547926</v>
      </c>
      <c r="H40" s="9">
        <f t="shared" si="6"/>
        <v>201.82499847976831</v>
      </c>
      <c r="J40" s="8">
        <v>2042</v>
      </c>
      <c r="K40" s="9">
        <f t="shared" si="7"/>
        <v>21.578505295598653</v>
      </c>
    </row>
    <row r="41" spans="2:11" x14ac:dyDescent="0.35">
      <c r="B41" s="8">
        <v>2043</v>
      </c>
      <c r="C41" s="9">
        <v>73.3002582049849</v>
      </c>
      <c r="D41" s="9">
        <f t="shared" ref="D41:D45" si="9">D40*(1+5%)</f>
        <v>125.36831656807398</v>
      </c>
      <c r="F41" s="8">
        <v>2043</v>
      </c>
      <c r="G41" s="9">
        <f t="shared" ref="G41:G45" si="10">G40*(1+8%)</f>
        <v>151.0150114607176</v>
      </c>
      <c r="H41" s="9">
        <f t="shared" ref="H41:H45" si="11">H40*(1+10%)</f>
        <v>222.00749832774517</v>
      </c>
      <c r="J41" s="8">
        <v>2043</v>
      </c>
      <c r="K41" s="9">
        <f t="shared" ref="K41:K45" si="12">K40*(1+8%)</f>
        <v>23.304785719246546</v>
      </c>
    </row>
    <row r="42" spans="2:11" x14ac:dyDescent="0.35">
      <c r="B42" s="8">
        <v>2044</v>
      </c>
      <c r="C42" s="9">
        <v>73.3002582049849</v>
      </c>
      <c r="D42" s="9">
        <f t="shared" si="9"/>
        <v>131.6367323964777</v>
      </c>
      <c r="F42" s="8">
        <v>2044</v>
      </c>
      <c r="G42" s="9">
        <f t="shared" si="10"/>
        <v>163.09621237757503</v>
      </c>
      <c r="H42" s="9">
        <f t="shared" si="11"/>
        <v>244.2082481605197</v>
      </c>
      <c r="J42" s="8">
        <v>2044</v>
      </c>
      <c r="K42" s="9">
        <f t="shared" si="12"/>
        <v>25.169168576786269</v>
      </c>
    </row>
    <row r="43" spans="2:11" x14ac:dyDescent="0.35">
      <c r="B43" s="8">
        <v>2045</v>
      </c>
      <c r="C43" s="9">
        <v>73.3002582049849</v>
      </c>
      <c r="D43" s="9">
        <f t="shared" si="9"/>
        <v>138.21856901630159</v>
      </c>
      <c r="F43" s="8">
        <v>2045</v>
      </c>
      <c r="G43" s="9">
        <f t="shared" si="10"/>
        <v>176.14390936778105</v>
      </c>
      <c r="H43" s="9">
        <f t="shared" si="11"/>
        <v>268.62907297657171</v>
      </c>
      <c r="J43" s="8">
        <v>2045</v>
      </c>
      <c r="K43" s="9">
        <f t="shared" si="12"/>
        <v>27.182702062929174</v>
      </c>
    </row>
    <row r="44" spans="2:11" x14ac:dyDescent="0.35">
      <c r="B44" s="8">
        <v>2046</v>
      </c>
      <c r="C44" s="9">
        <v>73.3002582049849</v>
      </c>
      <c r="D44" s="9">
        <f t="shared" si="9"/>
        <v>145.12949746711666</v>
      </c>
      <c r="F44" s="8">
        <v>2046</v>
      </c>
      <c r="G44" s="9">
        <f t="shared" si="10"/>
        <v>190.23542211720354</v>
      </c>
      <c r="H44" s="9">
        <f t="shared" si="11"/>
        <v>295.49198027422892</v>
      </c>
      <c r="J44" s="8">
        <v>2046</v>
      </c>
      <c r="K44" s="9">
        <f t="shared" si="12"/>
        <v>29.357318227963511</v>
      </c>
    </row>
    <row r="45" spans="2:11" x14ac:dyDescent="0.35">
      <c r="B45" s="8">
        <v>2047</v>
      </c>
      <c r="C45" s="9">
        <v>73.3002582049849</v>
      </c>
      <c r="D45" s="9">
        <f t="shared" si="9"/>
        <v>152.38597234047251</v>
      </c>
      <c r="F45" s="8">
        <v>2047</v>
      </c>
      <c r="G45" s="9">
        <f t="shared" si="10"/>
        <v>205.45425588657983</v>
      </c>
      <c r="H45" s="9">
        <f t="shared" si="11"/>
        <v>325.04117830165183</v>
      </c>
      <c r="J45" s="8">
        <v>2047</v>
      </c>
      <c r="K45" s="9">
        <f t="shared" si="12"/>
        <v>31.705903686200593</v>
      </c>
    </row>
    <row r="48" spans="2:11" ht="14.5" customHeight="1" x14ac:dyDescent="0.35">
      <c r="B48" s="88" t="s">
        <v>18</v>
      </c>
      <c r="C48" s="88"/>
      <c r="D48" s="88"/>
      <c r="E48" s="88"/>
      <c r="F48" s="88"/>
      <c r="G48" s="88"/>
      <c r="H48" s="88"/>
    </row>
    <row r="49" spans="2:18" ht="14.5" customHeight="1" x14ac:dyDescent="0.35">
      <c r="B49" s="88"/>
      <c r="C49" s="88"/>
      <c r="D49" s="88"/>
      <c r="E49" s="88"/>
      <c r="F49" s="88"/>
      <c r="G49" s="88"/>
      <c r="H49" s="88"/>
    </row>
    <row r="51" spans="2:18" ht="19" x14ac:dyDescent="0.35">
      <c r="C51" s="100" t="s">
        <v>19</v>
      </c>
      <c r="D51" s="100"/>
      <c r="E51" s="100"/>
      <c r="F51" s="23">
        <v>100</v>
      </c>
    </row>
    <row r="52" spans="2:18" ht="19" x14ac:dyDescent="0.35">
      <c r="C52" s="100" t="s">
        <v>20</v>
      </c>
      <c r="D52" s="100"/>
      <c r="E52" s="100"/>
      <c r="F52" s="23">
        <v>36</v>
      </c>
    </row>
    <row r="53" spans="2:18" ht="19" x14ac:dyDescent="0.35">
      <c r="C53" s="100" t="s">
        <v>21</v>
      </c>
      <c r="D53" s="100"/>
      <c r="E53" s="100"/>
      <c r="F53" s="23" t="s">
        <v>27</v>
      </c>
    </row>
    <row r="54" spans="2:18" x14ac:dyDescent="0.35">
      <c r="C54" s="16"/>
      <c r="D54" s="16"/>
      <c r="E54" s="16"/>
      <c r="F54" s="16"/>
    </row>
    <row r="55" spans="2:18" ht="19" x14ac:dyDescent="0.35">
      <c r="C55" s="103" t="s">
        <v>22</v>
      </c>
      <c r="D55" s="103"/>
      <c r="E55" s="103"/>
      <c r="F55" s="16"/>
    </row>
    <row r="56" spans="2:18" x14ac:dyDescent="0.35">
      <c r="C56" s="17" t="s">
        <v>24</v>
      </c>
      <c r="D56" s="22">
        <v>50</v>
      </c>
      <c r="E56" s="17" t="s">
        <v>23</v>
      </c>
      <c r="F56" s="23">
        <v>28.8</v>
      </c>
    </row>
    <row r="57" spans="2:18" x14ac:dyDescent="0.35">
      <c r="C57" s="16"/>
      <c r="D57" s="16"/>
      <c r="E57" s="16"/>
      <c r="F57" s="16"/>
    </row>
    <row r="58" spans="2:18" ht="19" x14ac:dyDescent="0.35">
      <c r="C58" s="100" t="s">
        <v>25</v>
      </c>
      <c r="D58" s="100"/>
      <c r="E58" s="100"/>
      <c r="F58" s="18">
        <v>1.4999999999999999E-2</v>
      </c>
    </row>
    <row r="59" spans="2:18" x14ac:dyDescent="0.35">
      <c r="C59" s="16"/>
      <c r="D59" s="16"/>
      <c r="E59" s="16"/>
      <c r="F59" s="16"/>
    </row>
    <row r="60" spans="2:18" ht="18" x14ac:dyDescent="0.35">
      <c r="C60" s="7" t="s">
        <v>15</v>
      </c>
      <c r="D60" s="7"/>
      <c r="E60" s="7"/>
      <c r="J60" s="7" t="s">
        <v>14</v>
      </c>
      <c r="K60" s="7"/>
      <c r="L60" s="7"/>
      <c r="O60" s="6" t="s">
        <v>17</v>
      </c>
      <c r="P60" s="6"/>
    </row>
    <row r="61" spans="2:18" x14ac:dyDescent="0.35">
      <c r="B61" s="1"/>
      <c r="C61" s="1"/>
      <c r="D61" s="1"/>
      <c r="E61" s="1"/>
      <c r="F61" s="1"/>
      <c r="G61" s="1"/>
    </row>
    <row r="62" spans="2:18" x14ac:dyDescent="0.35">
      <c r="B62" s="14" t="s">
        <v>12</v>
      </c>
      <c r="C62" s="14" t="s">
        <v>4</v>
      </c>
      <c r="D62" s="14" t="s">
        <v>26</v>
      </c>
      <c r="E62" s="14" t="s">
        <v>23</v>
      </c>
      <c r="F62" s="14" t="s">
        <v>28</v>
      </c>
      <c r="G62" s="16"/>
      <c r="H62" s="15" t="s">
        <v>12</v>
      </c>
      <c r="I62" s="10" t="s">
        <v>4</v>
      </c>
      <c r="J62" s="14" t="s">
        <v>26</v>
      </c>
      <c r="K62" s="14" t="s">
        <v>23</v>
      </c>
      <c r="L62" s="14" t="s">
        <v>28</v>
      </c>
      <c r="M62" s="16"/>
      <c r="N62" s="10" t="s">
        <v>12</v>
      </c>
      <c r="O62" s="15" t="s">
        <v>16</v>
      </c>
      <c r="P62" s="14" t="s">
        <v>26</v>
      </c>
      <c r="Q62" s="14" t="s">
        <v>23</v>
      </c>
      <c r="R62" s="14" t="s">
        <v>28</v>
      </c>
    </row>
    <row r="63" spans="2:18" x14ac:dyDescent="0.35">
      <c r="B63" s="8">
        <v>2022</v>
      </c>
      <c r="C63" s="9">
        <v>45</v>
      </c>
      <c r="D63" s="21">
        <f>F51</f>
        <v>100</v>
      </c>
      <c r="E63" s="21">
        <f>F52</f>
        <v>36</v>
      </c>
      <c r="F63" s="21">
        <f>C63*(D63-E63)</f>
        <v>2880</v>
      </c>
      <c r="G63" s="16"/>
      <c r="H63" s="8">
        <v>2022</v>
      </c>
      <c r="I63" s="9">
        <v>30</v>
      </c>
      <c r="J63" s="21">
        <f>F51</f>
        <v>100</v>
      </c>
      <c r="K63" s="19">
        <f>F52</f>
        <v>36</v>
      </c>
      <c r="L63" s="21">
        <f>I63*(J63-K63)</f>
        <v>1920</v>
      </c>
      <c r="M63" s="16"/>
      <c r="N63" s="8">
        <v>2022</v>
      </c>
      <c r="O63" s="17">
        <v>0</v>
      </c>
      <c r="P63" s="21">
        <f>D56</f>
        <v>50</v>
      </c>
      <c r="Q63" s="19">
        <f>F56</f>
        <v>28.8</v>
      </c>
      <c r="R63" s="21">
        <f>O63*(P63-Q63)</f>
        <v>0</v>
      </c>
    </row>
    <row r="64" spans="2:18" x14ac:dyDescent="0.35">
      <c r="B64" s="8">
        <v>2023</v>
      </c>
      <c r="C64" s="9">
        <f>C63*(1+5%)</f>
        <v>47.25</v>
      </c>
      <c r="D64" s="21">
        <f>D63*(1+$F$58)</f>
        <v>101.49999999999999</v>
      </c>
      <c r="E64" s="21">
        <f>E63*(1+$F$58)</f>
        <v>36.54</v>
      </c>
      <c r="F64" s="21">
        <f t="shared" ref="F64:F73" si="13">C64*(D64-E64)</f>
        <v>3069.3599999999992</v>
      </c>
      <c r="G64" s="16"/>
      <c r="H64" s="8">
        <v>2023</v>
      </c>
      <c r="I64" s="9">
        <f>I63*(1+10%)</f>
        <v>33</v>
      </c>
      <c r="J64" s="21">
        <f>J63*(1+$F$58)</f>
        <v>101.49999999999999</v>
      </c>
      <c r="K64" s="19">
        <f>K63*(1+$F$58)</f>
        <v>36.54</v>
      </c>
      <c r="L64" s="21">
        <f t="shared" ref="L64:L73" si="14">I64*(J64-K64)</f>
        <v>2143.6799999999994</v>
      </c>
      <c r="M64" s="16"/>
      <c r="N64" s="8">
        <v>2023</v>
      </c>
      <c r="O64" s="9">
        <v>5</v>
      </c>
      <c r="P64" s="21">
        <f>P63*(1+$F$58)</f>
        <v>50.749999999999993</v>
      </c>
      <c r="Q64" s="19">
        <f>Q63*(1+$F$58)</f>
        <v>29.231999999999999</v>
      </c>
      <c r="R64" s="21">
        <f t="shared" ref="R64:R73" si="15">O64*(P64-Q64)</f>
        <v>107.58999999999997</v>
      </c>
    </row>
    <row r="65" spans="2:18" x14ac:dyDescent="0.35">
      <c r="B65" s="8">
        <v>2024</v>
      </c>
      <c r="C65" s="9">
        <f t="shared" ref="C65:C73" si="16">C64*(1+5%)</f>
        <v>49.612500000000004</v>
      </c>
      <c r="D65" s="21">
        <f t="shared" ref="D65:D73" si="17">D64*(1+$F$58)</f>
        <v>103.02249999999998</v>
      </c>
      <c r="E65" s="21">
        <f t="shared" ref="E65:E73" si="18">E64*(1+$F$58)</f>
        <v>37.088099999999997</v>
      </c>
      <c r="F65" s="21">
        <f t="shared" si="13"/>
        <v>3271.1704199999995</v>
      </c>
      <c r="G65" s="16"/>
      <c r="H65" s="8">
        <v>2024</v>
      </c>
      <c r="I65" s="9">
        <f t="shared" ref="I65:I73" si="19">I64*(1+10%)</f>
        <v>36.300000000000004</v>
      </c>
      <c r="J65" s="21">
        <f t="shared" ref="J65:J73" si="20">J64*(1+$F$58)</f>
        <v>103.02249999999998</v>
      </c>
      <c r="K65" s="19">
        <f t="shared" ref="K65:K73" si="21">K64*(1+$F$58)</f>
        <v>37.088099999999997</v>
      </c>
      <c r="L65" s="21">
        <f t="shared" si="14"/>
        <v>2393.4187199999997</v>
      </c>
      <c r="M65" s="16"/>
      <c r="N65" s="8">
        <v>2024</v>
      </c>
      <c r="O65" s="9">
        <f>O64*(1+8%)</f>
        <v>5.4</v>
      </c>
      <c r="P65" s="21">
        <f t="shared" ref="P65:P73" si="22">P64*(1+$F$58)</f>
        <v>51.51124999999999</v>
      </c>
      <c r="Q65" s="19">
        <f t="shared" ref="Q65:Q73" si="23">Q64*(1+$F$58)</f>
        <v>29.670479999999998</v>
      </c>
      <c r="R65" s="21">
        <f t="shared" si="15"/>
        <v>117.94015799999997</v>
      </c>
    </row>
    <row r="66" spans="2:18" x14ac:dyDescent="0.35">
      <c r="B66" s="8">
        <v>2025</v>
      </c>
      <c r="C66" s="9">
        <f t="shared" si="16"/>
        <v>52.093125000000008</v>
      </c>
      <c r="D66" s="21">
        <f t="shared" si="17"/>
        <v>104.56783749999997</v>
      </c>
      <c r="E66" s="21">
        <f t="shared" si="18"/>
        <v>37.644421499999993</v>
      </c>
      <c r="F66" s="21">
        <f t="shared" si="13"/>
        <v>3486.2498751149992</v>
      </c>
      <c r="G66" s="16"/>
      <c r="H66" s="8">
        <v>2025</v>
      </c>
      <c r="I66" s="9">
        <f t="shared" si="19"/>
        <v>39.930000000000007</v>
      </c>
      <c r="J66" s="21">
        <f t="shared" si="20"/>
        <v>104.56783749999997</v>
      </c>
      <c r="K66" s="19">
        <f t="shared" si="21"/>
        <v>37.644421499999993</v>
      </c>
      <c r="L66" s="21">
        <f t="shared" si="14"/>
        <v>2672.2520008799993</v>
      </c>
      <c r="M66" s="16"/>
      <c r="N66" s="8">
        <v>2025</v>
      </c>
      <c r="O66" s="9">
        <f t="shared" ref="O66:O73" si="24">O65*(1+8%)</f>
        <v>5.8320000000000007</v>
      </c>
      <c r="P66" s="21">
        <f t="shared" si="22"/>
        <v>52.283918749999984</v>
      </c>
      <c r="Q66" s="19">
        <f t="shared" si="23"/>
        <v>30.115537199999995</v>
      </c>
      <c r="R66" s="21">
        <f t="shared" si="15"/>
        <v>129.28600119959995</v>
      </c>
    </row>
    <row r="67" spans="2:18" x14ac:dyDescent="0.35">
      <c r="B67" s="8">
        <v>2026</v>
      </c>
      <c r="C67" s="9">
        <f t="shared" si="16"/>
        <v>54.697781250000013</v>
      </c>
      <c r="D67" s="21">
        <f t="shared" si="17"/>
        <v>106.13635506249996</v>
      </c>
      <c r="E67" s="21">
        <f t="shared" si="18"/>
        <v>38.209087822499988</v>
      </c>
      <c r="F67" s="21">
        <f t="shared" si="13"/>
        <v>3715.4708044038102</v>
      </c>
      <c r="G67" s="16"/>
      <c r="H67" s="8">
        <v>2026</v>
      </c>
      <c r="I67" s="9">
        <f t="shared" si="19"/>
        <v>43.923000000000009</v>
      </c>
      <c r="J67" s="21">
        <f t="shared" si="20"/>
        <v>106.13635506249996</v>
      </c>
      <c r="K67" s="19">
        <f t="shared" si="21"/>
        <v>38.209087822499988</v>
      </c>
      <c r="L67" s="21">
        <f t="shared" si="14"/>
        <v>2983.5693589825191</v>
      </c>
      <c r="M67" s="16"/>
      <c r="N67" s="8">
        <v>2026</v>
      </c>
      <c r="O67" s="9">
        <f t="shared" si="24"/>
        <v>6.298560000000001</v>
      </c>
      <c r="P67" s="21">
        <f t="shared" si="22"/>
        <v>53.068177531249979</v>
      </c>
      <c r="Q67" s="19">
        <f t="shared" si="23"/>
        <v>30.567270257999994</v>
      </c>
      <c r="R67" s="21">
        <f t="shared" si="15"/>
        <v>141.72331451500145</v>
      </c>
    </row>
    <row r="68" spans="2:18" x14ac:dyDescent="0.35">
      <c r="B68" s="8">
        <v>2027</v>
      </c>
      <c r="C68" s="9">
        <f t="shared" si="16"/>
        <v>57.432670312500015</v>
      </c>
      <c r="D68" s="21">
        <f t="shared" si="17"/>
        <v>107.72840038843745</v>
      </c>
      <c r="E68" s="21">
        <f t="shared" si="18"/>
        <v>38.782224139837481</v>
      </c>
      <c r="F68" s="21">
        <f t="shared" si="13"/>
        <v>3959.7630097933611</v>
      </c>
      <c r="G68" s="16"/>
      <c r="H68" s="8">
        <v>2027</v>
      </c>
      <c r="I68" s="9">
        <f t="shared" si="19"/>
        <v>48.315300000000015</v>
      </c>
      <c r="J68" s="21">
        <f t="shared" si="20"/>
        <v>107.72840038843745</v>
      </c>
      <c r="K68" s="19">
        <f t="shared" si="21"/>
        <v>38.782224139837481</v>
      </c>
      <c r="L68" s="21">
        <f t="shared" si="14"/>
        <v>3331.1551893039832</v>
      </c>
      <c r="M68" s="16"/>
      <c r="N68" s="8">
        <v>2027</v>
      </c>
      <c r="O68" s="9">
        <f t="shared" si="24"/>
        <v>6.8024448000000017</v>
      </c>
      <c r="P68" s="21">
        <f t="shared" si="22"/>
        <v>53.864200194218725</v>
      </c>
      <c r="Q68" s="19">
        <f t="shared" si="23"/>
        <v>31.025779311869989</v>
      </c>
      <c r="R68" s="21">
        <f t="shared" si="15"/>
        <v>155.35709737134459</v>
      </c>
    </row>
    <row r="69" spans="2:18" x14ac:dyDescent="0.35">
      <c r="B69" s="8">
        <v>2028</v>
      </c>
      <c r="C69" s="9">
        <f t="shared" si="16"/>
        <v>60.304303828125022</v>
      </c>
      <c r="D69" s="21">
        <f t="shared" si="17"/>
        <v>109.344326394264</v>
      </c>
      <c r="E69" s="21">
        <f t="shared" si="18"/>
        <v>39.36395750193504</v>
      </c>
      <c r="F69" s="21">
        <f t="shared" si="13"/>
        <v>4220.1174276872744</v>
      </c>
      <c r="G69" s="16"/>
      <c r="H69" s="8">
        <v>2028</v>
      </c>
      <c r="I69" s="9">
        <f t="shared" si="19"/>
        <v>53.146830000000023</v>
      </c>
      <c r="J69" s="21">
        <f t="shared" si="20"/>
        <v>109.344326394264</v>
      </c>
      <c r="K69" s="19">
        <f t="shared" si="21"/>
        <v>39.36395750193504</v>
      </c>
      <c r="L69" s="21">
        <f t="shared" si="14"/>
        <v>3719.2347688578966</v>
      </c>
      <c r="M69" s="16"/>
      <c r="N69" s="8">
        <v>2028</v>
      </c>
      <c r="O69" s="9">
        <f t="shared" si="24"/>
        <v>7.3466403840000023</v>
      </c>
      <c r="P69" s="21">
        <f t="shared" si="22"/>
        <v>54.672163197132001</v>
      </c>
      <c r="Q69" s="19">
        <f t="shared" si="23"/>
        <v>31.491166001548038</v>
      </c>
      <c r="R69" s="21">
        <f t="shared" si="15"/>
        <v>170.30245013846795</v>
      </c>
    </row>
    <row r="70" spans="2:18" x14ac:dyDescent="0.35">
      <c r="B70" s="8">
        <v>2029</v>
      </c>
      <c r="C70" s="9">
        <f t="shared" si="16"/>
        <v>63.319519019531278</v>
      </c>
      <c r="D70" s="21">
        <f t="shared" si="17"/>
        <v>110.98449129017796</v>
      </c>
      <c r="E70" s="21">
        <f t="shared" si="18"/>
        <v>39.954416864464065</v>
      </c>
      <c r="F70" s="21">
        <f t="shared" si="13"/>
        <v>4497.5901485577133</v>
      </c>
      <c r="G70" s="16"/>
      <c r="H70" s="8">
        <v>2029</v>
      </c>
      <c r="I70" s="9">
        <f t="shared" si="19"/>
        <v>58.461513000000032</v>
      </c>
      <c r="J70" s="21">
        <f t="shared" si="20"/>
        <v>110.98449129017796</v>
      </c>
      <c r="K70" s="19">
        <f t="shared" si="21"/>
        <v>39.954416864464065</v>
      </c>
      <c r="L70" s="21">
        <f t="shared" si="14"/>
        <v>4152.5256194298427</v>
      </c>
      <c r="M70" s="16"/>
      <c r="N70" s="8">
        <v>2029</v>
      </c>
      <c r="O70" s="9">
        <f t="shared" si="24"/>
        <v>7.9343716147200034</v>
      </c>
      <c r="P70" s="21">
        <f t="shared" si="22"/>
        <v>55.492245645088978</v>
      </c>
      <c r="Q70" s="19">
        <f t="shared" si="23"/>
        <v>31.963533491571255</v>
      </c>
      <c r="R70" s="21">
        <f t="shared" si="15"/>
        <v>186.68554584178858</v>
      </c>
    </row>
    <row r="71" spans="2:18" x14ac:dyDescent="0.35">
      <c r="B71" s="8">
        <v>2030</v>
      </c>
      <c r="C71" s="9">
        <f t="shared" si="16"/>
        <v>66.485494970507844</v>
      </c>
      <c r="D71" s="21">
        <f t="shared" si="17"/>
        <v>112.64925865953062</v>
      </c>
      <c r="E71" s="21">
        <f t="shared" si="18"/>
        <v>40.553733117431022</v>
      </c>
      <c r="F71" s="21">
        <f t="shared" si="13"/>
        <v>4793.306700825382</v>
      </c>
      <c r="G71" s="16"/>
      <c r="H71" s="8">
        <v>2030</v>
      </c>
      <c r="I71" s="9">
        <f t="shared" si="19"/>
        <v>64.307664300000042</v>
      </c>
      <c r="J71" s="21">
        <f t="shared" si="20"/>
        <v>112.64925865953062</v>
      </c>
      <c r="K71" s="19">
        <f t="shared" si="21"/>
        <v>40.553733117431022</v>
      </c>
      <c r="L71" s="21">
        <f t="shared" si="14"/>
        <v>4636.2948540934194</v>
      </c>
      <c r="M71" s="16"/>
      <c r="N71" s="8">
        <v>2030</v>
      </c>
      <c r="O71" s="9">
        <f t="shared" si="24"/>
        <v>8.5691213438976046</v>
      </c>
      <c r="P71" s="21">
        <f t="shared" si="22"/>
        <v>56.324629329765308</v>
      </c>
      <c r="Q71" s="19">
        <f t="shared" si="23"/>
        <v>32.442986493944822</v>
      </c>
      <c r="R71" s="21">
        <f t="shared" si="15"/>
        <v>204.64469535176863</v>
      </c>
    </row>
    <row r="72" spans="2:18" x14ac:dyDescent="0.35">
      <c r="B72" s="8">
        <v>2031</v>
      </c>
      <c r="C72" s="9">
        <f t="shared" si="16"/>
        <v>69.809769719033241</v>
      </c>
      <c r="D72" s="21">
        <f t="shared" si="17"/>
        <v>114.33899753942356</v>
      </c>
      <c r="E72" s="21">
        <f t="shared" si="18"/>
        <v>41.162039114192481</v>
      </c>
      <c r="F72" s="21">
        <f t="shared" si="13"/>
        <v>5108.4666164046512</v>
      </c>
      <c r="G72" s="16"/>
      <c r="H72" s="8">
        <v>2031</v>
      </c>
      <c r="I72" s="9">
        <f t="shared" si="19"/>
        <v>70.738430730000047</v>
      </c>
      <c r="J72" s="21">
        <f t="shared" si="20"/>
        <v>114.33899753942356</v>
      </c>
      <c r="K72" s="19">
        <f t="shared" si="21"/>
        <v>41.162039114192481</v>
      </c>
      <c r="L72" s="21">
        <f t="shared" si="14"/>
        <v>5176.4232045953022</v>
      </c>
      <c r="M72" s="16"/>
      <c r="N72" s="8">
        <v>2031</v>
      </c>
      <c r="O72" s="9">
        <f t="shared" si="24"/>
        <v>9.2546510514094145</v>
      </c>
      <c r="P72" s="21">
        <f t="shared" si="22"/>
        <v>57.16949876971178</v>
      </c>
      <c r="Q72" s="19">
        <f t="shared" si="23"/>
        <v>32.929631291353992</v>
      </c>
      <c r="R72" s="21">
        <f t="shared" si="15"/>
        <v>224.33151504460878</v>
      </c>
    </row>
    <row r="73" spans="2:18" x14ac:dyDescent="0.35">
      <c r="B73" s="8">
        <v>2032</v>
      </c>
      <c r="C73" s="8">
        <f t="shared" si="16"/>
        <v>73.3002582049849</v>
      </c>
      <c r="D73" s="21">
        <f t="shared" si="17"/>
        <v>116.0540825025149</v>
      </c>
      <c r="E73" s="21">
        <f t="shared" si="18"/>
        <v>41.779469700905366</v>
      </c>
      <c r="F73" s="21">
        <f t="shared" si="13"/>
        <v>5444.3482964332561</v>
      </c>
      <c r="G73" s="8"/>
      <c r="H73" s="8">
        <v>2032</v>
      </c>
      <c r="I73" s="8">
        <f t="shared" si="19"/>
        <v>77.812273803000053</v>
      </c>
      <c r="J73" s="21">
        <f t="shared" si="20"/>
        <v>116.0540825025149</v>
      </c>
      <c r="K73" s="19">
        <f t="shared" si="21"/>
        <v>41.779469700905366</v>
      </c>
      <c r="L73" s="19">
        <f t="shared" si="14"/>
        <v>5779.4765079306544</v>
      </c>
      <c r="M73" s="8"/>
      <c r="N73" s="8">
        <v>2032</v>
      </c>
      <c r="O73" s="8">
        <f t="shared" si="24"/>
        <v>9.9950231355221675</v>
      </c>
      <c r="P73" s="21">
        <f t="shared" si="22"/>
        <v>58.027041251257451</v>
      </c>
      <c r="Q73" s="19">
        <f t="shared" si="23"/>
        <v>33.423575760724297</v>
      </c>
      <c r="R73" s="21">
        <f t="shared" si="15"/>
        <v>245.91220679190013</v>
      </c>
    </row>
    <row r="74" spans="2:18" x14ac:dyDescent="0.35">
      <c r="B74" s="8">
        <v>2033</v>
      </c>
      <c r="C74" s="8">
        <f t="shared" ref="C74:C88" si="25">C73*(1+5%)</f>
        <v>76.965271115234145</v>
      </c>
      <c r="D74" s="21">
        <f t="shared" ref="D74:D88" si="26">D73*(1+$F$58)</f>
        <v>117.79489374005261</v>
      </c>
      <c r="E74" s="21">
        <f t="shared" ref="E74:E88" si="27">E73*(1+$F$58)</f>
        <v>42.406161746418945</v>
      </c>
      <c r="F74" s="21">
        <f t="shared" ref="F74:F88" si="28">C74*(D74-E74)</f>
        <v>5802.3141969237413</v>
      </c>
      <c r="G74" s="8"/>
      <c r="H74" s="8">
        <v>2033</v>
      </c>
      <c r="I74" s="8">
        <f t="shared" ref="I74:I88" si="29">I73*(1+10%)</f>
        <v>85.593501183300063</v>
      </c>
      <c r="J74" s="21">
        <f t="shared" ref="J74:J88" si="30">J73*(1+$F$58)</f>
        <v>117.79489374005261</v>
      </c>
      <c r="K74" s="19">
        <f t="shared" ref="K74:K88" si="31">K73*(1+$F$58)</f>
        <v>42.406161746418945</v>
      </c>
      <c r="L74" s="19">
        <f t="shared" ref="L74:L88" si="32">I74*(J74-K74)</f>
        <v>6452.7855211045744</v>
      </c>
      <c r="M74" s="8"/>
      <c r="N74" s="8">
        <v>2033</v>
      </c>
      <c r="O74" s="8">
        <f t="shared" ref="O74:O88" si="33">O73*(1+8%)</f>
        <v>10.794624986363942</v>
      </c>
      <c r="P74" s="21">
        <f t="shared" ref="P74:P88" si="34">P73*(1+$F$58)</f>
        <v>58.897446870026307</v>
      </c>
      <c r="Q74" s="19">
        <f t="shared" ref="Q74:Q88" si="35">Q73*(1+$F$58)</f>
        <v>33.924929397135159</v>
      </c>
      <c r="R74" s="21">
        <f t="shared" ref="R74:R88" si="36">O74*(P74-Q74)</f>
        <v>269.56896108528093</v>
      </c>
    </row>
    <row r="75" spans="2:18" ht="14.5" customHeight="1" x14ac:dyDescent="0.35">
      <c r="B75" s="8">
        <v>2034</v>
      </c>
      <c r="C75" s="8">
        <f t="shared" si="25"/>
        <v>80.81353467099585</v>
      </c>
      <c r="D75" s="21">
        <f t="shared" si="26"/>
        <v>119.56181714615339</v>
      </c>
      <c r="E75" s="21">
        <f t="shared" si="27"/>
        <v>43.042254172615223</v>
      </c>
      <c r="F75" s="21">
        <f t="shared" si="28"/>
        <v>6183.8163553714776</v>
      </c>
      <c r="G75" s="8"/>
      <c r="H75" s="8">
        <v>2034</v>
      </c>
      <c r="I75" s="8">
        <f t="shared" si="29"/>
        <v>94.152851301630079</v>
      </c>
      <c r="J75" s="21">
        <f t="shared" si="30"/>
        <v>119.56181714615339</v>
      </c>
      <c r="K75" s="19">
        <f t="shared" si="31"/>
        <v>43.042254172615223</v>
      </c>
      <c r="L75" s="19">
        <f t="shared" si="32"/>
        <v>7204.5350343132586</v>
      </c>
      <c r="M75" s="8"/>
      <c r="N75" s="8">
        <v>2034</v>
      </c>
      <c r="O75" s="8">
        <f t="shared" si="33"/>
        <v>11.658194985273058</v>
      </c>
      <c r="P75" s="21">
        <f t="shared" si="34"/>
        <v>59.780908573076694</v>
      </c>
      <c r="Q75" s="19">
        <f t="shared" si="35"/>
        <v>34.433803338092183</v>
      </c>
      <c r="R75" s="21">
        <f t="shared" si="36"/>
        <v>295.50149514168487</v>
      </c>
    </row>
    <row r="76" spans="2:18" ht="14.5" customHeight="1" x14ac:dyDescent="0.35">
      <c r="B76" s="8">
        <v>2035</v>
      </c>
      <c r="C76" s="8">
        <f t="shared" si="25"/>
        <v>84.854211404545651</v>
      </c>
      <c r="D76" s="21">
        <f t="shared" si="26"/>
        <v>121.35524440334568</v>
      </c>
      <c r="E76" s="21">
        <f t="shared" si="27"/>
        <v>43.687887985204448</v>
      </c>
      <c r="F76" s="21">
        <f t="shared" si="28"/>
        <v>6590.4022807371512</v>
      </c>
      <c r="G76" s="8"/>
      <c r="H76" s="8">
        <v>2035</v>
      </c>
      <c r="I76" s="8">
        <f t="shared" si="29"/>
        <v>103.56813643179309</v>
      </c>
      <c r="J76" s="21">
        <f t="shared" si="30"/>
        <v>121.35524440334568</v>
      </c>
      <c r="K76" s="19">
        <f t="shared" si="31"/>
        <v>43.687887985204448</v>
      </c>
      <c r="L76" s="19">
        <f t="shared" si="32"/>
        <v>8043.863365810751</v>
      </c>
      <c r="M76" s="8"/>
      <c r="N76" s="8">
        <v>2035</v>
      </c>
      <c r="O76" s="8">
        <f t="shared" si="33"/>
        <v>12.590850584094904</v>
      </c>
      <c r="P76" s="21">
        <f t="shared" si="34"/>
        <v>60.67762220167284</v>
      </c>
      <c r="Q76" s="19">
        <f t="shared" si="35"/>
        <v>34.950310388163565</v>
      </c>
      <c r="R76" s="21">
        <f t="shared" si="36"/>
        <v>323.92873897431497</v>
      </c>
    </row>
    <row r="77" spans="2:18" x14ac:dyDescent="0.35">
      <c r="B77" s="8">
        <v>2036</v>
      </c>
      <c r="C77" s="8">
        <f t="shared" si="25"/>
        <v>89.09692197477294</v>
      </c>
      <c r="D77" s="21">
        <f t="shared" si="26"/>
        <v>123.17557306939585</v>
      </c>
      <c r="E77" s="21">
        <f t="shared" si="27"/>
        <v>44.343206304982509</v>
      </c>
      <c r="F77" s="21">
        <f t="shared" si="28"/>
        <v>7023.7212306956189</v>
      </c>
      <c r="G77" s="8"/>
      <c r="H77" s="8">
        <v>2036</v>
      </c>
      <c r="I77" s="8">
        <f t="shared" si="29"/>
        <v>113.92495007497241</v>
      </c>
      <c r="J77" s="21">
        <f t="shared" si="30"/>
        <v>123.17557306939585</v>
      </c>
      <c r="K77" s="19">
        <f t="shared" si="31"/>
        <v>44.343206304982509</v>
      </c>
      <c r="L77" s="19">
        <f t="shared" si="32"/>
        <v>8980.9734479277049</v>
      </c>
      <c r="M77" s="8"/>
      <c r="N77" s="8">
        <v>2036</v>
      </c>
      <c r="O77" s="8">
        <f t="shared" si="33"/>
        <v>13.598118630822498</v>
      </c>
      <c r="P77" s="21">
        <f t="shared" si="34"/>
        <v>61.587786534697926</v>
      </c>
      <c r="Q77" s="19">
        <f t="shared" si="35"/>
        <v>35.474565043986019</v>
      </c>
      <c r="R77" s="21">
        <f t="shared" si="36"/>
        <v>355.09068366364403</v>
      </c>
    </row>
    <row r="78" spans="2:18" x14ac:dyDescent="0.35">
      <c r="B78" s="8">
        <v>2037</v>
      </c>
      <c r="C78" s="8">
        <f t="shared" si="25"/>
        <v>93.551768073511596</v>
      </c>
      <c r="D78" s="21">
        <f t="shared" si="26"/>
        <v>125.02320666543677</v>
      </c>
      <c r="E78" s="21">
        <f t="shared" si="27"/>
        <v>45.008354399557241</v>
      </c>
      <c r="F78" s="21">
        <f t="shared" si="28"/>
        <v>7485.5309016138563</v>
      </c>
      <c r="G78" s="8"/>
      <c r="H78" s="8">
        <v>2037</v>
      </c>
      <c r="I78" s="8">
        <f t="shared" si="29"/>
        <v>125.31744508246966</v>
      </c>
      <c r="J78" s="21">
        <f t="shared" si="30"/>
        <v>125.02320666543677</v>
      </c>
      <c r="K78" s="19">
        <f t="shared" si="31"/>
        <v>45.008354399557241</v>
      </c>
      <c r="L78" s="19">
        <f t="shared" si="32"/>
        <v>10027.256854611282</v>
      </c>
      <c r="M78" s="8"/>
      <c r="N78" s="8">
        <v>2037</v>
      </c>
      <c r="O78" s="8">
        <f t="shared" si="33"/>
        <v>14.685968121288299</v>
      </c>
      <c r="P78" s="21">
        <f t="shared" si="34"/>
        <v>62.511603332718387</v>
      </c>
      <c r="Q78" s="19">
        <f t="shared" si="35"/>
        <v>36.006683519645804</v>
      </c>
      <c r="R78" s="21">
        <f t="shared" si="36"/>
        <v>389.2504074320866</v>
      </c>
    </row>
    <row r="79" spans="2:18" x14ac:dyDescent="0.35">
      <c r="B79" s="8">
        <v>2038</v>
      </c>
      <c r="C79" s="8">
        <f t="shared" si="25"/>
        <v>98.229356477187181</v>
      </c>
      <c r="D79" s="21">
        <f t="shared" si="26"/>
        <v>126.89855476541831</v>
      </c>
      <c r="E79" s="21">
        <f t="shared" si="27"/>
        <v>45.683479715550597</v>
      </c>
      <c r="F79" s="21">
        <f t="shared" si="28"/>
        <v>7977.7045583949666</v>
      </c>
      <c r="G79" s="8"/>
      <c r="H79" s="8">
        <v>2038</v>
      </c>
      <c r="I79" s="8">
        <f t="shared" si="29"/>
        <v>137.84918959071663</v>
      </c>
      <c r="J79" s="21">
        <f t="shared" si="30"/>
        <v>126.89855476541831</v>
      </c>
      <c r="K79" s="19">
        <f t="shared" si="31"/>
        <v>45.683479715550597</v>
      </c>
      <c r="L79" s="19">
        <f t="shared" si="32"/>
        <v>11195.432278173495</v>
      </c>
      <c r="M79" s="8"/>
      <c r="N79" s="8">
        <v>2038</v>
      </c>
      <c r="O79" s="8">
        <f t="shared" si="33"/>
        <v>15.860845570991364</v>
      </c>
      <c r="P79" s="21">
        <f t="shared" si="34"/>
        <v>63.449277382709155</v>
      </c>
      <c r="Q79" s="19">
        <f t="shared" si="35"/>
        <v>36.546783772440484</v>
      </c>
      <c r="R79" s="21">
        <f t="shared" si="36"/>
        <v>426.6962966270533</v>
      </c>
    </row>
    <row r="80" spans="2:18" x14ac:dyDescent="0.35">
      <c r="B80" s="8">
        <v>2039</v>
      </c>
      <c r="C80" s="8">
        <f t="shared" si="25"/>
        <v>103.14082430104655</v>
      </c>
      <c r="D80" s="21">
        <f t="shared" si="26"/>
        <v>128.80203308689957</v>
      </c>
      <c r="E80" s="21">
        <f t="shared" si="27"/>
        <v>46.368731911283852</v>
      </c>
      <c r="F80" s="21">
        <f t="shared" si="28"/>
        <v>8502.2386331094349</v>
      </c>
      <c r="G80" s="8"/>
      <c r="H80" s="8">
        <v>2039</v>
      </c>
      <c r="I80" s="8">
        <f t="shared" si="29"/>
        <v>151.63410854978832</v>
      </c>
      <c r="J80" s="21">
        <f t="shared" si="30"/>
        <v>128.80203308689957</v>
      </c>
      <c r="K80" s="19">
        <f t="shared" si="31"/>
        <v>46.368731911283852</v>
      </c>
      <c r="L80" s="19">
        <f t="shared" si="32"/>
        <v>12499.700138580709</v>
      </c>
      <c r="M80" s="8"/>
      <c r="N80" s="8">
        <v>2039</v>
      </c>
      <c r="O80" s="8">
        <f t="shared" si="33"/>
        <v>17.129713216670673</v>
      </c>
      <c r="P80" s="21">
        <f t="shared" si="34"/>
        <v>64.401016543449785</v>
      </c>
      <c r="Q80" s="19">
        <f t="shared" si="35"/>
        <v>37.094985529027085</v>
      </c>
      <c r="R80" s="21">
        <f t="shared" si="36"/>
        <v>467.74448036257581</v>
      </c>
    </row>
    <row r="81" spans="2:18" x14ac:dyDescent="0.35">
      <c r="B81" s="8">
        <v>2040</v>
      </c>
      <c r="C81" s="8">
        <f t="shared" si="25"/>
        <v>108.29786551609888</v>
      </c>
      <c r="D81" s="21">
        <f t="shared" si="26"/>
        <v>130.73406358320304</v>
      </c>
      <c r="E81" s="21">
        <f t="shared" si="27"/>
        <v>47.064262889953106</v>
      </c>
      <c r="F81" s="21">
        <f t="shared" si="28"/>
        <v>9061.2608232363782</v>
      </c>
      <c r="G81" s="8"/>
      <c r="H81" s="8">
        <v>2040</v>
      </c>
      <c r="I81" s="8">
        <f t="shared" si="29"/>
        <v>166.79751940476717</v>
      </c>
      <c r="J81" s="21">
        <f t="shared" si="30"/>
        <v>130.73406358320304</v>
      </c>
      <c r="K81" s="19">
        <f t="shared" si="31"/>
        <v>47.064262889953106</v>
      </c>
      <c r="L81" s="19">
        <f t="shared" si="32"/>
        <v>13955.915204725356</v>
      </c>
      <c r="M81" s="8"/>
      <c r="N81" s="8">
        <v>2040</v>
      </c>
      <c r="O81" s="8">
        <f t="shared" si="33"/>
        <v>18.500090274004329</v>
      </c>
      <c r="P81" s="21">
        <f t="shared" si="34"/>
        <v>65.367031791601519</v>
      </c>
      <c r="Q81" s="19">
        <f t="shared" si="35"/>
        <v>37.651410311962486</v>
      </c>
      <c r="R81" s="21">
        <f t="shared" si="36"/>
        <v>512.74149937345555</v>
      </c>
    </row>
    <row r="82" spans="2:18" x14ac:dyDescent="0.35">
      <c r="B82" s="8">
        <v>2041</v>
      </c>
      <c r="C82" s="8">
        <f t="shared" si="25"/>
        <v>113.71275879190382</v>
      </c>
      <c r="D82" s="21">
        <f t="shared" si="26"/>
        <v>132.69507453695107</v>
      </c>
      <c r="E82" s="21">
        <f t="shared" si="27"/>
        <v>47.770226833302395</v>
      </c>
      <c r="F82" s="21">
        <f t="shared" si="28"/>
        <v>9657.0387223641701</v>
      </c>
      <c r="G82" s="8"/>
      <c r="H82" s="8">
        <v>2041</v>
      </c>
      <c r="I82" s="8">
        <f t="shared" si="29"/>
        <v>183.47727134524391</v>
      </c>
      <c r="J82" s="21">
        <f t="shared" si="30"/>
        <v>132.69507453695107</v>
      </c>
      <c r="K82" s="19">
        <f t="shared" si="31"/>
        <v>47.770226833302395</v>
      </c>
      <c r="L82" s="19">
        <f t="shared" si="32"/>
        <v>15581.779326075863</v>
      </c>
      <c r="M82" s="8"/>
      <c r="N82" s="8">
        <v>2041</v>
      </c>
      <c r="O82" s="8">
        <f t="shared" si="33"/>
        <v>19.980097495924678</v>
      </c>
      <c r="P82" s="21">
        <f t="shared" si="34"/>
        <v>66.347537268475534</v>
      </c>
      <c r="Q82" s="19">
        <f t="shared" si="35"/>
        <v>38.21618146664192</v>
      </c>
      <c r="R82" s="21">
        <f t="shared" si="36"/>
        <v>562.067231613182</v>
      </c>
    </row>
    <row r="83" spans="2:18" x14ac:dyDescent="0.35">
      <c r="B83" s="8">
        <v>2042</v>
      </c>
      <c r="C83" s="8">
        <f t="shared" si="25"/>
        <v>119.39839673149902</v>
      </c>
      <c r="D83" s="21">
        <f t="shared" si="26"/>
        <v>134.68550065500531</v>
      </c>
      <c r="E83" s="21">
        <f t="shared" si="27"/>
        <v>48.486780235801923</v>
      </c>
      <c r="F83" s="21">
        <f t="shared" si="28"/>
        <v>10291.989018359613</v>
      </c>
      <c r="G83" s="8"/>
      <c r="H83" s="8">
        <v>2042</v>
      </c>
      <c r="I83" s="8">
        <f t="shared" si="29"/>
        <v>201.82499847976831</v>
      </c>
      <c r="J83" s="21">
        <f t="shared" si="30"/>
        <v>134.68550065500531</v>
      </c>
      <c r="K83" s="19">
        <f t="shared" si="31"/>
        <v>48.486780235801923</v>
      </c>
      <c r="L83" s="19">
        <f t="shared" si="32"/>
        <v>17397.0566175637</v>
      </c>
      <c r="M83" s="8"/>
      <c r="N83" s="8">
        <v>2042</v>
      </c>
      <c r="O83" s="8">
        <f t="shared" si="33"/>
        <v>21.578505295598653</v>
      </c>
      <c r="P83" s="21">
        <f t="shared" si="34"/>
        <v>67.342750327502657</v>
      </c>
      <c r="Q83" s="19">
        <f t="shared" si="35"/>
        <v>38.789424188641547</v>
      </c>
      <c r="R83" s="21">
        <f t="shared" si="36"/>
        <v>616.13809929436991</v>
      </c>
    </row>
    <row r="84" spans="2:18" x14ac:dyDescent="0.35">
      <c r="B84" s="8">
        <v>2043</v>
      </c>
      <c r="C84" s="8">
        <f t="shared" si="25"/>
        <v>125.36831656807398</v>
      </c>
      <c r="D84" s="21">
        <f t="shared" si="26"/>
        <v>136.70578316483039</v>
      </c>
      <c r="E84" s="21">
        <f t="shared" si="27"/>
        <v>49.214081939338946</v>
      </c>
      <c r="F84" s="21">
        <f t="shared" si="28"/>
        <v>10968.687296316759</v>
      </c>
      <c r="G84" s="8"/>
      <c r="H84" s="8">
        <v>2043</v>
      </c>
      <c r="I84" s="8">
        <f t="shared" si="29"/>
        <v>222.00749832774517</v>
      </c>
      <c r="J84" s="21">
        <f t="shared" si="30"/>
        <v>136.70578316483039</v>
      </c>
      <c r="K84" s="19">
        <f t="shared" si="31"/>
        <v>49.214081939338946</v>
      </c>
      <c r="L84" s="19">
        <f t="shared" si="32"/>
        <v>19423.813713509873</v>
      </c>
      <c r="M84" s="8"/>
      <c r="N84" s="8">
        <v>2043</v>
      </c>
      <c r="O84" s="8">
        <f t="shared" si="33"/>
        <v>23.304785719246546</v>
      </c>
      <c r="P84" s="21">
        <f t="shared" si="34"/>
        <v>68.352891582415197</v>
      </c>
      <c r="Q84" s="19">
        <f t="shared" si="35"/>
        <v>39.371265551471168</v>
      </c>
      <c r="R84" s="21">
        <f t="shared" si="36"/>
        <v>675.41058444648831</v>
      </c>
    </row>
    <row r="85" spans="2:18" x14ac:dyDescent="0.35">
      <c r="B85" s="8">
        <v>2044</v>
      </c>
      <c r="C85" s="8">
        <f t="shared" si="25"/>
        <v>131.6367323964777</v>
      </c>
      <c r="D85" s="21">
        <f t="shared" si="26"/>
        <v>138.75636991230283</v>
      </c>
      <c r="E85" s="21">
        <f t="shared" si="27"/>
        <v>49.952293168429023</v>
      </c>
      <c r="F85" s="21">
        <f t="shared" si="28"/>
        <v>11689.878486049585</v>
      </c>
      <c r="G85" s="8"/>
      <c r="H85" s="8">
        <v>2044</v>
      </c>
      <c r="I85" s="8">
        <f t="shared" si="29"/>
        <v>244.2082481605197</v>
      </c>
      <c r="J85" s="21">
        <f t="shared" si="30"/>
        <v>138.75636991230283</v>
      </c>
      <c r="K85" s="19">
        <f t="shared" si="31"/>
        <v>49.952293168429023</v>
      </c>
      <c r="L85" s="19">
        <f t="shared" si="32"/>
        <v>21686.68801113377</v>
      </c>
      <c r="M85" s="8"/>
      <c r="N85" s="8">
        <v>2044</v>
      </c>
      <c r="O85" s="8">
        <f t="shared" si="33"/>
        <v>25.169168576786269</v>
      </c>
      <c r="P85" s="21">
        <f t="shared" si="34"/>
        <v>69.378184956151415</v>
      </c>
      <c r="Q85" s="19">
        <f t="shared" si="35"/>
        <v>39.961834534743232</v>
      </c>
      <c r="R85" s="21">
        <f t="shared" si="36"/>
        <v>740.38508267024031</v>
      </c>
    </row>
    <row r="86" spans="2:18" x14ac:dyDescent="0.35">
      <c r="B86" s="8">
        <v>2045</v>
      </c>
      <c r="C86" s="8">
        <f t="shared" si="25"/>
        <v>138.21856901630159</v>
      </c>
      <c r="D86" s="21">
        <f t="shared" si="26"/>
        <v>140.83771546098737</v>
      </c>
      <c r="E86" s="21">
        <f t="shared" si="27"/>
        <v>50.701577565955454</v>
      </c>
      <c r="F86" s="21">
        <f t="shared" si="28"/>
        <v>12458.487996507345</v>
      </c>
      <c r="G86" s="8"/>
      <c r="H86" s="8">
        <v>2045</v>
      </c>
      <c r="I86" s="8">
        <f t="shared" si="29"/>
        <v>268.62907297657171</v>
      </c>
      <c r="J86" s="21">
        <f t="shared" si="30"/>
        <v>140.83771546098737</v>
      </c>
      <c r="K86" s="19">
        <f t="shared" si="31"/>
        <v>50.701577565955454</v>
      </c>
      <c r="L86" s="19">
        <f t="shared" si="32"/>
        <v>24213.187164430856</v>
      </c>
      <c r="M86" s="8"/>
      <c r="N86" s="8">
        <v>2045</v>
      </c>
      <c r="O86" s="8">
        <f t="shared" si="33"/>
        <v>27.182702062929174</v>
      </c>
      <c r="P86" s="21">
        <f t="shared" si="34"/>
        <v>70.418857730493684</v>
      </c>
      <c r="Q86" s="19">
        <f t="shared" si="35"/>
        <v>40.561262052764377</v>
      </c>
      <c r="R86" s="21">
        <f t="shared" si="36"/>
        <v>811.61012762311759</v>
      </c>
    </row>
    <row r="87" spans="2:18" x14ac:dyDescent="0.35">
      <c r="B87" s="8">
        <v>2046</v>
      </c>
      <c r="C87" s="8">
        <f t="shared" si="25"/>
        <v>145.12949746711666</v>
      </c>
      <c r="D87" s="21">
        <f t="shared" si="26"/>
        <v>142.95028119290217</v>
      </c>
      <c r="E87" s="21">
        <f t="shared" si="27"/>
        <v>51.462101229444784</v>
      </c>
      <c r="F87" s="21">
        <f t="shared" si="28"/>
        <v>13277.633582277702</v>
      </c>
      <c r="G87" s="8"/>
      <c r="H87" s="8">
        <v>2046</v>
      </c>
      <c r="I87" s="8">
        <f t="shared" si="29"/>
        <v>295.49198027422892</v>
      </c>
      <c r="J87" s="21">
        <f t="shared" si="30"/>
        <v>142.95028119290217</v>
      </c>
      <c r="K87" s="19">
        <f t="shared" si="31"/>
        <v>51.462101229444784</v>
      </c>
      <c r="L87" s="19">
        <f t="shared" si="32"/>
        <v>27034.023469087057</v>
      </c>
      <c r="M87" s="8"/>
      <c r="N87" s="8">
        <v>2046</v>
      </c>
      <c r="O87" s="8">
        <f t="shared" si="33"/>
        <v>29.357318227963511</v>
      </c>
      <c r="P87" s="21">
        <f t="shared" si="34"/>
        <v>71.475140596451084</v>
      </c>
      <c r="Q87" s="19">
        <f t="shared" si="35"/>
        <v>41.169680983555835</v>
      </c>
      <c r="R87" s="21">
        <f t="shared" si="36"/>
        <v>889.68702190046167</v>
      </c>
    </row>
    <row r="88" spans="2:18" x14ac:dyDescent="0.35">
      <c r="B88" s="8">
        <v>2047</v>
      </c>
      <c r="C88" s="8">
        <f t="shared" si="25"/>
        <v>152.38597234047251</v>
      </c>
      <c r="D88" s="21">
        <f t="shared" si="26"/>
        <v>145.09453541079569</v>
      </c>
      <c r="E88" s="21">
        <f t="shared" si="27"/>
        <v>52.234032747886452</v>
      </c>
      <c r="F88" s="21">
        <f t="shared" si="28"/>
        <v>14150.637990312458</v>
      </c>
      <c r="G88" s="8"/>
      <c r="H88" s="8">
        <v>2047</v>
      </c>
      <c r="I88" s="8">
        <f t="shared" si="29"/>
        <v>325.04117830165183</v>
      </c>
      <c r="J88" s="21">
        <f t="shared" si="30"/>
        <v>145.09453541079569</v>
      </c>
      <c r="K88" s="19">
        <f t="shared" si="31"/>
        <v>52.234032747886452</v>
      </c>
      <c r="L88" s="19">
        <f t="shared" si="32"/>
        <v>30183.487203235691</v>
      </c>
      <c r="M88" s="8"/>
      <c r="N88" s="8">
        <v>2047</v>
      </c>
      <c r="O88" s="8">
        <f t="shared" si="33"/>
        <v>31.705903686200593</v>
      </c>
      <c r="P88" s="21">
        <f t="shared" si="34"/>
        <v>72.547267705397843</v>
      </c>
      <c r="Q88" s="19">
        <f t="shared" si="35"/>
        <v>41.78722619830917</v>
      </c>
      <c r="R88" s="21">
        <f t="shared" si="36"/>
        <v>975.27491340728602</v>
      </c>
    </row>
    <row r="90" spans="2:18" ht="14.5" customHeight="1" x14ac:dyDescent="0.35">
      <c r="B90" s="117" t="s">
        <v>29</v>
      </c>
      <c r="C90" s="118"/>
    </row>
    <row r="91" spans="2:18" ht="14.5" customHeight="1" x14ac:dyDescent="0.35">
      <c r="B91" s="119"/>
      <c r="C91" s="120"/>
    </row>
    <row r="93" spans="2:18" x14ac:dyDescent="0.35">
      <c r="B93" s="48" t="s">
        <v>12</v>
      </c>
      <c r="C93" s="48" t="s">
        <v>92</v>
      </c>
    </row>
    <row r="94" spans="2:18" x14ac:dyDescent="0.35">
      <c r="B94" s="17">
        <v>2022</v>
      </c>
      <c r="C94" s="58">
        <f t="shared" ref="C94:C119" si="37">F63+L63+R63</f>
        <v>4800</v>
      </c>
    </row>
    <row r="95" spans="2:18" x14ac:dyDescent="0.35">
      <c r="B95" s="17">
        <v>2023</v>
      </c>
      <c r="C95" s="58">
        <f t="shared" si="37"/>
        <v>5320.6299999999992</v>
      </c>
    </row>
    <row r="96" spans="2:18" x14ac:dyDescent="0.35">
      <c r="B96" s="17">
        <v>2024</v>
      </c>
      <c r="C96" s="58">
        <f t="shared" si="37"/>
        <v>5782.5292979999995</v>
      </c>
    </row>
    <row r="97" spans="2:3" x14ac:dyDescent="0.35">
      <c r="B97" s="17">
        <v>2025</v>
      </c>
      <c r="C97" s="58">
        <f t="shared" si="37"/>
        <v>6287.787877194598</v>
      </c>
    </row>
    <row r="98" spans="2:3" x14ac:dyDescent="0.35">
      <c r="B98" s="17">
        <v>2026</v>
      </c>
      <c r="C98" s="58">
        <f t="shared" si="37"/>
        <v>6840.7634779013306</v>
      </c>
    </row>
    <row r="99" spans="2:3" x14ac:dyDescent="0.35">
      <c r="B99" s="17">
        <v>2027</v>
      </c>
      <c r="C99" s="58">
        <f t="shared" si="37"/>
        <v>7446.2752964686897</v>
      </c>
    </row>
    <row r="100" spans="2:3" x14ac:dyDescent="0.35">
      <c r="B100" s="17">
        <v>2028</v>
      </c>
      <c r="C100" s="58">
        <f t="shared" si="37"/>
        <v>8109.6546466836389</v>
      </c>
    </row>
    <row r="101" spans="2:3" x14ac:dyDescent="0.35">
      <c r="B101" s="17">
        <v>2029</v>
      </c>
      <c r="C101" s="58">
        <f t="shared" si="37"/>
        <v>8836.8013138293445</v>
      </c>
    </row>
    <row r="102" spans="2:3" x14ac:dyDescent="0.35">
      <c r="B102" s="17">
        <v>2030</v>
      </c>
      <c r="C102" s="58">
        <f t="shared" si="37"/>
        <v>9634.2462502705694</v>
      </c>
    </row>
    <row r="103" spans="2:3" x14ac:dyDescent="0.35">
      <c r="B103" s="17">
        <v>2031</v>
      </c>
      <c r="C103" s="58">
        <f t="shared" si="37"/>
        <v>10509.221336044562</v>
      </c>
    </row>
    <row r="104" spans="2:3" x14ac:dyDescent="0.35">
      <c r="B104" s="17">
        <v>2032</v>
      </c>
      <c r="C104" s="58">
        <f t="shared" si="37"/>
        <v>11469.73701115581</v>
      </c>
    </row>
    <row r="105" spans="2:3" x14ac:dyDescent="0.35">
      <c r="B105" s="17">
        <v>2033</v>
      </c>
      <c r="C105" s="58">
        <f t="shared" si="37"/>
        <v>12524.668679113596</v>
      </c>
    </row>
    <row r="106" spans="2:3" x14ac:dyDescent="0.35">
      <c r="B106" s="17">
        <v>2034</v>
      </c>
      <c r="C106" s="58">
        <f t="shared" si="37"/>
        <v>13683.852884826421</v>
      </c>
    </row>
    <row r="107" spans="2:3" x14ac:dyDescent="0.35">
      <c r="B107" s="17">
        <v>2035</v>
      </c>
      <c r="C107" s="58">
        <f t="shared" si="37"/>
        <v>14958.194385522216</v>
      </c>
    </row>
    <row r="108" spans="2:3" x14ac:dyDescent="0.35">
      <c r="B108" s="17">
        <v>2036</v>
      </c>
      <c r="C108" s="58">
        <f t="shared" si="37"/>
        <v>16359.785362286968</v>
      </c>
    </row>
    <row r="109" spans="2:3" x14ac:dyDescent="0.35">
      <c r="B109" s="17">
        <v>2037</v>
      </c>
      <c r="C109" s="58">
        <f t="shared" si="37"/>
        <v>17902.038163657224</v>
      </c>
    </row>
    <row r="110" spans="2:3" x14ac:dyDescent="0.35">
      <c r="B110" s="17">
        <v>2038</v>
      </c>
      <c r="C110" s="58">
        <f t="shared" si="37"/>
        <v>19599.833133195516</v>
      </c>
    </row>
    <row r="111" spans="2:3" x14ac:dyDescent="0.35">
      <c r="B111" s="17">
        <v>2039</v>
      </c>
      <c r="C111" s="58">
        <f t="shared" si="37"/>
        <v>21469.68325205272</v>
      </c>
    </row>
    <row r="112" spans="2:3" x14ac:dyDescent="0.35">
      <c r="B112" s="17">
        <v>2040</v>
      </c>
      <c r="C112" s="58">
        <f t="shared" si="37"/>
        <v>23529.91752733519</v>
      </c>
    </row>
    <row r="113" spans="2:9" x14ac:dyDescent="0.35">
      <c r="B113" s="17">
        <v>2041</v>
      </c>
      <c r="C113" s="58">
        <f t="shared" si="37"/>
        <v>25800.885280053215</v>
      </c>
    </row>
    <row r="114" spans="2:9" x14ac:dyDescent="0.35">
      <c r="B114" s="17">
        <v>2042</v>
      </c>
      <c r="C114" s="58">
        <f t="shared" si="37"/>
        <v>28305.183735217684</v>
      </c>
    </row>
    <row r="115" spans="2:9" x14ac:dyDescent="0.35">
      <c r="B115" s="17">
        <v>2043</v>
      </c>
      <c r="C115" s="58">
        <f t="shared" si="37"/>
        <v>31067.911594273119</v>
      </c>
    </row>
    <row r="116" spans="2:9" x14ac:dyDescent="0.35">
      <c r="B116" s="17">
        <v>2044</v>
      </c>
      <c r="C116" s="58">
        <f t="shared" si="37"/>
        <v>34116.951579853594</v>
      </c>
    </row>
    <row r="117" spans="2:9" x14ac:dyDescent="0.35">
      <c r="B117" s="17">
        <v>2045</v>
      </c>
      <c r="C117" s="58">
        <f t="shared" si="37"/>
        <v>37483.285288561325</v>
      </c>
    </row>
    <row r="118" spans="2:9" x14ac:dyDescent="0.35">
      <c r="B118" s="17">
        <v>2046</v>
      </c>
      <c r="C118" s="58">
        <f t="shared" si="37"/>
        <v>41201.344073265223</v>
      </c>
    </row>
    <row r="119" spans="2:9" x14ac:dyDescent="0.35">
      <c r="B119" s="17">
        <v>2047</v>
      </c>
      <c r="C119" s="58">
        <f t="shared" si="37"/>
        <v>45309.400106955436</v>
      </c>
    </row>
    <row r="123" spans="2:9" x14ac:dyDescent="0.35">
      <c r="C123" s="98" t="s">
        <v>30</v>
      </c>
      <c r="D123" s="99"/>
      <c r="E123" s="99"/>
      <c r="F123" s="99"/>
      <c r="G123" s="99"/>
      <c r="H123" s="99"/>
      <c r="I123" s="99"/>
    </row>
    <row r="124" spans="2:9" x14ac:dyDescent="0.35">
      <c r="C124" s="99"/>
      <c r="D124" s="99"/>
      <c r="E124" s="99"/>
      <c r="F124" s="99"/>
      <c r="G124" s="99"/>
      <c r="H124" s="99"/>
      <c r="I124" s="99"/>
    </row>
    <row r="126" spans="2:9" x14ac:dyDescent="0.35">
      <c r="B126" s="86" t="s">
        <v>31</v>
      </c>
      <c r="C126" s="86"/>
    </row>
    <row r="127" spans="2:9" x14ac:dyDescent="0.35">
      <c r="B127" s="86"/>
      <c r="C127" s="86"/>
    </row>
    <row r="129" spans="2:5" ht="15.5" x14ac:dyDescent="0.35">
      <c r="B129" s="29" t="s">
        <v>91</v>
      </c>
      <c r="C129" s="51">
        <v>150</v>
      </c>
    </row>
    <row r="131" spans="2:5" x14ac:dyDescent="0.35">
      <c r="B131" s="86" t="s">
        <v>33</v>
      </c>
      <c r="C131" s="86"/>
    </row>
    <row r="132" spans="2:5" x14ac:dyDescent="0.35">
      <c r="B132" s="86"/>
      <c r="C132" s="86"/>
    </row>
    <row r="134" spans="2:5" ht="15.5" x14ac:dyDescent="0.35">
      <c r="B134" s="55" t="s">
        <v>34</v>
      </c>
      <c r="C134" s="55" t="s">
        <v>36</v>
      </c>
      <c r="D134" s="28"/>
      <c r="E134" s="28"/>
    </row>
    <row r="135" spans="2:5" ht="15.5" x14ac:dyDescent="0.35">
      <c r="B135" s="55" t="s">
        <v>37</v>
      </c>
      <c r="C135" s="55" t="s">
        <v>132</v>
      </c>
      <c r="D135" s="28"/>
      <c r="E135" s="28"/>
    </row>
    <row r="136" spans="2:5" ht="15.5" x14ac:dyDescent="0.35">
      <c r="B136" s="56" t="s">
        <v>39</v>
      </c>
      <c r="C136" s="56" t="s">
        <v>40</v>
      </c>
      <c r="D136" s="28"/>
      <c r="E136" s="28"/>
    </row>
    <row r="137" spans="2:5" ht="15.5" x14ac:dyDescent="0.35">
      <c r="B137" s="28"/>
      <c r="C137" s="28"/>
      <c r="D137" s="28"/>
      <c r="E137" s="28"/>
    </row>
    <row r="138" spans="2:5" ht="15.5" x14ac:dyDescent="0.35">
      <c r="B138" s="28" t="s">
        <v>41</v>
      </c>
      <c r="C138" s="28"/>
      <c r="D138" s="28"/>
      <c r="E138" s="28"/>
    </row>
    <row r="139" spans="2:5" ht="15.5" x14ac:dyDescent="0.35">
      <c r="B139" s="55" t="s">
        <v>42</v>
      </c>
      <c r="C139" s="56">
        <f>(1000-200)/25</f>
        <v>32</v>
      </c>
      <c r="D139" s="28"/>
      <c r="E139" s="28"/>
    </row>
    <row r="140" spans="2:5" ht="15.5" x14ac:dyDescent="0.35">
      <c r="B140" s="55" t="s">
        <v>43</v>
      </c>
      <c r="C140" s="55">
        <f>C139*25</f>
        <v>800</v>
      </c>
      <c r="D140" s="28"/>
      <c r="E140" s="28"/>
    </row>
    <row r="141" spans="2:5" ht="15.5" x14ac:dyDescent="0.35">
      <c r="B141" s="57"/>
      <c r="C141" s="57"/>
      <c r="D141" s="28"/>
      <c r="E141" s="28"/>
    </row>
    <row r="142" spans="2:5" x14ac:dyDescent="0.35">
      <c r="B142" s="48" t="s">
        <v>12</v>
      </c>
      <c r="C142" s="48" t="s">
        <v>88</v>
      </c>
      <c r="D142" s="48" t="s">
        <v>89</v>
      </c>
      <c r="E142" s="48" t="s">
        <v>90</v>
      </c>
    </row>
    <row r="143" spans="2:5" x14ac:dyDescent="0.35">
      <c r="B143" s="17">
        <v>2022</v>
      </c>
      <c r="C143" s="17">
        <v>1000</v>
      </c>
      <c r="D143" s="17">
        <v>0</v>
      </c>
      <c r="E143" s="17">
        <f>C143-D143</f>
        <v>1000</v>
      </c>
    </row>
    <row r="144" spans="2:5" x14ac:dyDescent="0.35">
      <c r="B144" s="17">
        <v>2023</v>
      </c>
      <c r="C144" s="17">
        <v>0</v>
      </c>
      <c r="D144" s="17">
        <f>$C$139</f>
        <v>32</v>
      </c>
      <c r="E144" s="17">
        <f>E143-D144</f>
        <v>968</v>
      </c>
    </row>
    <row r="145" spans="2:5" x14ac:dyDescent="0.35">
      <c r="B145" s="17">
        <v>2024</v>
      </c>
      <c r="C145" s="17">
        <v>0</v>
      </c>
      <c r="D145" s="17">
        <f t="shared" ref="D145:D168" si="38">$C$139</f>
        <v>32</v>
      </c>
      <c r="E145" s="17">
        <f t="shared" ref="E145:E153" si="39">E144-D145</f>
        <v>936</v>
      </c>
    </row>
    <row r="146" spans="2:5" x14ac:dyDescent="0.35">
      <c r="B146" s="17">
        <v>2025</v>
      </c>
      <c r="C146" s="17">
        <v>0</v>
      </c>
      <c r="D146" s="17">
        <f t="shared" si="38"/>
        <v>32</v>
      </c>
      <c r="E146" s="17">
        <f t="shared" si="39"/>
        <v>904</v>
      </c>
    </row>
    <row r="147" spans="2:5" x14ac:dyDescent="0.35">
      <c r="B147" s="17">
        <v>2026</v>
      </c>
      <c r="C147" s="17">
        <v>0</v>
      </c>
      <c r="D147" s="17">
        <f t="shared" si="38"/>
        <v>32</v>
      </c>
      <c r="E147" s="17">
        <f t="shared" si="39"/>
        <v>872</v>
      </c>
    </row>
    <row r="148" spans="2:5" x14ac:dyDescent="0.35">
      <c r="B148" s="17">
        <v>2027</v>
      </c>
      <c r="C148" s="17">
        <v>0</v>
      </c>
      <c r="D148" s="17">
        <f t="shared" si="38"/>
        <v>32</v>
      </c>
      <c r="E148" s="17">
        <f t="shared" si="39"/>
        <v>840</v>
      </c>
    </row>
    <row r="149" spans="2:5" x14ac:dyDescent="0.35">
      <c r="B149" s="17">
        <v>2028</v>
      </c>
      <c r="C149" s="17">
        <v>0</v>
      </c>
      <c r="D149" s="17">
        <f t="shared" si="38"/>
        <v>32</v>
      </c>
      <c r="E149" s="17">
        <f t="shared" si="39"/>
        <v>808</v>
      </c>
    </row>
    <row r="150" spans="2:5" x14ac:dyDescent="0.35">
      <c r="B150" s="17">
        <v>2029</v>
      </c>
      <c r="C150" s="17">
        <v>0</v>
      </c>
      <c r="D150" s="17">
        <f t="shared" si="38"/>
        <v>32</v>
      </c>
      <c r="E150" s="17">
        <f t="shared" si="39"/>
        <v>776</v>
      </c>
    </row>
    <row r="151" spans="2:5" x14ac:dyDescent="0.35">
      <c r="B151" s="17">
        <v>2030</v>
      </c>
      <c r="C151" s="17">
        <v>0</v>
      </c>
      <c r="D151" s="17">
        <f t="shared" si="38"/>
        <v>32</v>
      </c>
      <c r="E151" s="17">
        <f t="shared" si="39"/>
        <v>744</v>
      </c>
    </row>
    <row r="152" spans="2:5" x14ac:dyDescent="0.35">
      <c r="B152" s="17">
        <v>2031</v>
      </c>
      <c r="C152" s="17">
        <v>0</v>
      </c>
      <c r="D152" s="17">
        <f t="shared" si="38"/>
        <v>32</v>
      </c>
      <c r="E152" s="17">
        <f t="shared" si="39"/>
        <v>712</v>
      </c>
    </row>
    <row r="153" spans="2:5" x14ac:dyDescent="0.35">
      <c r="B153" s="17">
        <v>2032</v>
      </c>
      <c r="C153" s="17">
        <v>0</v>
      </c>
      <c r="D153" s="17">
        <f t="shared" si="38"/>
        <v>32</v>
      </c>
      <c r="E153" s="17">
        <f t="shared" si="39"/>
        <v>680</v>
      </c>
    </row>
    <row r="154" spans="2:5" x14ac:dyDescent="0.35">
      <c r="B154" s="17">
        <v>2033</v>
      </c>
      <c r="C154" s="17">
        <v>0</v>
      </c>
      <c r="D154" s="17">
        <f t="shared" si="38"/>
        <v>32</v>
      </c>
      <c r="E154" s="17">
        <f t="shared" ref="E154:E164" si="40">E153-D154</f>
        <v>648</v>
      </c>
    </row>
    <row r="155" spans="2:5" x14ac:dyDescent="0.35">
      <c r="B155" s="17">
        <v>2034</v>
      </c>
      <c r="C155" s="17">
        <v>0</v>
      </c>
      <c r="D155" s="17">
        <f t="shared" si="38"/>
        <v>32</v>
      </c>
      <c r="E155" s="17">
        <f t="shared" si="40"/>
        <v>616</v>
      </c>
    </row>
    <row r="156" spans="2:5" x14ac:dyDescent="0.35">
      <c r="B156" s="17">
        <v>2035</v>
      </c>
      <c r="C156" s="17">
        <v>0</v>
      </c>
      <c r="D156" s="17">
        <f t="shared" si="38"/>
        <v>32</v>
      </c>
      <c r="E156" s="17">
        <f t="shared" si="40"/>
        <v>584</v>
      </c>
    </row>
    <row r="157" spans="2:5" x14ac:dyDescent="0.35">
      <c r="B157" s="17">
        <v>2036</v>
      </c>
      <c r="C157" s="17">
        <v>0</v>
      </c>
      <c r="D157" s="17">
        <f t="shared" si="38"/>
        <v>32</v>
      </c>
      <c r="E157" s="17">
        <f t="shared" si="40"/>
        <v>552</v>
      </c>
    </row>
    <row r="158" spans="2:5" x14ac:dyDescent="0.35">
      <c r="B158" s="17">
        <v>2037</v>
      </c>
      <c r="C158" s="17">
        <v>0</v>
      </c>
      <c r="D158" s="17">
        <f t="shared" si="38"/>
        <v>32</v>
      </c>
      <c r="E158" s="17">
        <f t="shared" si="40"/>
        <v>520</v>
      </c>
    </row>
    <row r="159" spans="2:5" x14ac:dyDescent="0.35">
      <c r="B159" s="17">
        <v>2038</v>
      </c>
      <c r="C159" s="17">
        <v>0</v>
      </c>
      <c r="D159" s="17">
        <f t="shared" si="38"/>
        <v>32</v>
      </c>
      <c r="E159" s="17">
        <f t="shared" si="40"/>
        <v>488</v>
      </c>
    </row>
    <row r="160" spans="2:5" x14ac:dyDescent="0.35">
      <c r="B160" s="17">
        <v>2039</v>
      </c>
      <c r="C160" s="17">
        <v>0</v>
      </c>
      <c r="D160" s="17">
        <f t="shared" si="38"/>
        <v>32</v>
      </c>
      <c r="E160" s="17">
        <f t="shared" si="40"/>
        <v>456</v>
      </c>
    </row>
    <row r="161" spans="2:10" x14ac:dyDescent="0.35">
      <c r="B161" s="17">
        <v>2040</v>
      </c>
      <c r="C161" s="17">
        <v>0</v>
      </c>
      <c r="D161" s="17">
        <f t="shared" si="38"/>
        <v>32</v>
      </c>
      <c r="E161" s="17">
        <f t="shared" si="40"/>
        <v>424</v>
      </c>
    </row>
    <row r="162" spans="2:10" x14ac:dyDescent="0.35">
      <c r="B162" s="17">
        <v>2041</v>
      </c>
      <c r="C162" s="17">
        <v>0</v>
      </c>
      <c r="D162" s="17">
        <f t="shared" si="38"/>
        <v>32</v>
      </c>
      <c r="E162" s="17">
        <f t="shared" si="40"/>
        <v>392</v>
      </c>
    </row>
    <row r="163" spans="2:10" x14ac:dyDescent="0.35">
      <c r="B163" s="17">
        <v>2042</v>
      </c>
      <c r="C163" s="17">
        <v>0</v>
      </c>
      <c r="D163" s="17">
        <f t="shared" si="38"/>
        <v>32</v>
      </c>
      <c r="E163" s="17">
        <f t="shared" si="40"/>
        <v>360</v>
      </c>
    </row>
    <row r="164" spans="2:10" x14ac:dyDescent="0.35">
      <c r="B164" s="17">
        <v>2043</v>
      </c>
      <c r="C164" s="17">
        <v>0</v>
      </c>
      <c r="D164" s="17">
        <f t="shared" si="38"/>
        <v>32</v>
      </c>
      <c r="E164" s="17">
        <f t="shared" si="40"/>
        <v>328</v>
      </c>
    </row>
    <row r="165" spans="2:10" x14ac:dyDescent="0.35">
      <c r="B165" s="17">
        <v>2044</v>
      </c>
      <c r="C165" s="17">
        <v>0</v>
      </c>
      <c r="D165" s="17">
        <f t="shared" si="38"/>
        <v>32</v>
      </c>
      <c r="E165" s="17">
        <f t="shared" ref="E165:E168" si="41">E164-D165</f>
        <v>296</v>
      </c>
    </row>
    <row r="166" spans="2:10" x14ac:dyDescent="0.35">
      <c r="B166" s="17">
        <v>2045</v>
      </c>
      <c r="C166" s="17">
        <v>0</v>
      </c>
      <c r="D166" s="17">
        <f t="shared" si="38"/>
        <v>32</v>
      </c>
      <c r="E166" s="17">
        <f t="shared" si="41"/>
        <v>264</v>
      </c>
    </row>
    <row r="167" spans="2:10" x14ac:dyDescent="0.35">
      <c r="B167" s="17">
        <v>2046</v>
      </c>
      <c r="C167" s="17">
        <v>0</v>
      </c>
      <c r="D167" s="17">
        <f t="shared" si="38"/>
        <v>32</v>
      </c>
      <c r="E167" s="17">
        <f t="shared" si="41"/>
        <v>232</v>
      </c>
    </row>
    <row r="168" spans="2:10" x14ac:dyDescent="0.35">
      <c r="B168" s="17">
        <v>2047</v>
      </c>
      <c r="C168" s="17">
        <v>0</v>
      </c>
      <c r="D168" s="17">
        <f t="shared" si="38"/>
        <v>32</v>
      </c>
      <c r="E168" s="17">
        <f t="shared" si="41"/>
        <v>200</v>
      </c>
    </row>
    <row r="170" spans="2:10" x14ac:dyDescent="0.35">
      <c r="B170" s="86" t="s">
        <v>44</v>
      </c>
      <c r="C170" s="86"/>
    </row>
    <row r="171" spans="2:10" x14ac:dyDescent="0.35">
      <c r="B171" s="86"/>
      <c r="C171" s="86"/>
      <c r="G171" s="96" t="s">
        <v>52</v>
      </c>
      <c r="H171" s="96"/>
      <c r="I171" s="96"/>
      <c r="J171" s="96"/>
    </row>
    <row r="172" spans="2:10" x14ac:dyDescent="0.35">
      <c r="G172" s="97"/>
      <c r="H172" s="97"/>
      <c r="I172" s="97"/>
      <c r="J172" s="97"/>
    </row>
    <row r="173" spans="2:10" x14ac:dyDescent="0.35">
      <c r="B173" s="95" t="s">
        <v>45</v>
      </c>
      <c r="C173" s="95"/>
      <c r="D173" s="95"/>
      <c r="G173" s="15" t="s">
        <v>12</v>
      </c>
      <c r="H173" s="10" t="s">
        <v>4</v>
      </c>
      <c r="I173" s="15" t="s">
        <v>16</v>
      </c>
      <c r="J173" s="15" t="s">
        <v>53</v>
      </c>
    </row>
    <row r="174" spans="2:10" x14ac:dyDescent="0.35">
      <c r="G174" s="33">
        <v>2022</v>
      </c>
      <c r="H174" s="9">
        <v>30</v>
      </c>
      <c r="I174" s="17">
        <v>0</v>
      </c>
      <c r="J174" s="32">
        <f>H174+I174</f>
        <v>30</v>
      </c>
    </row>
    <row r="175" spans="2:10" ht="16.5" x14ac:dyDescent="0.35">
      <c r="B175" s="44"/>
      <c r="C175" s="44" t="s">
        <v>47</v>
      </c>
      <c r="D175" s="44" t="s">
        <v>5</v>
      </c>
      <c r="E175" s="37"/>
      <c r="G175" s="33">
        <v>2023</v>
      </c>
      <c r="H175" s="9">
        <f>H174*(1+10%)</f>
        <v>33</v>
      </c>
      <c r="I175" s="9">
        <v>5</v>
      </c>
      <c r="J175" s="32">
        <f t="shared" ref="J175:J184" si="42">H175+I175</f>
        <v>38</v>
      </c>
    </row>
    <row r="176" spans="2:10" ht="16.5" x14ac:dyDescent="0.35">
      <c r="B176" s="44" t="s">
        <v>46</v>
      </c>
      <c r="C176" s="45">
        <v>0.65</v>
      </c>
      <c r="D176" s="44" t="s">
        <v>48</v>
      </c>
      <c r="E176" s="37"/>
      <c r="G176" s="33">
        <v>2024</v>
      </c>
      <c r="H176" s="9">
        <f t="shared" ref="H176:H184" si="43">H175*(1+10%)</f>
        <v>36.300000000000004</v>
      </c>
      <c r="I176" s="9">
        <f>I175*(1+8%)</f>
        <v>5.4</v>
      </c>
      <c r="J176" s="32">
        <f t="shared" si="42"/>
        <v>41.7</v>
      </c>
    </row>
    <row r="177" spans="2:10" ht="16.5" x14ac:dyDescent="0.35">
      <c r="B177" s="44" t="s">
        <v>133</v>
      </c>
      <c r="C177" s="44"/>
      <c r="D177" s="75">
        <f>J199</f>
        <v>356.74708198785243</v>
      </c>
      <c r="E177" s="37"/>
      <c r="G177" s="34">
        <v>2025</v>
      </c>
      <c r="H177" s="35">
        <f t="shared" si="43"/>
        <v>39.930000000000007</v>
      </c>
      <c r="I177" s="35">
        <f t="shared" ref="I177:I184" si="44">I176*(1+8%)</f>
        <v>5.8320000000000007</v>
      </c>
      <c r="J177" s="36">
        <f t="shared" si="42"/>
        <v>45.762000000000008</v>
      </c>
    </row>
    <row r="178" spans="2:10" ht="16.5" x14ac:dyDescent="0.35">
      <c r="B178" s="37"/>
      <c r="C178" s="37"/>
      <c r="D178" s="37"/>
      <c r="E178" s="37"/>
      <c r="G178" s="33">
        <v>2026</v>
      </c>
      <c r="H178" s="9">
        <f t="shared" si="43"/>
        <v>43.923000000000009</v>
      </c>
      <c r="I178" s="9">
        <f t="shared" si="44"/>
        <v>6.298560000000001</v>
      </c>
      <c r="J178" s="32">
        <f t="shared" si="42"/>
        <v>50.221560000000011</v>
      </c>
    </row>
    <row r="179" spans="2:10" ht="16.5" x14ac:dyDescent="0.35">
      <c r="B179" s="37" t="s">
        <v>50</v>
      </c>
      <c r="C179" s="38">
        <f>30*100/65</f>
        <v>46.153846153846153</v>
      </c>
      <c r="D179" s="37"/>
      <c r="E179" s="37"/>
      <c r="G179" s="33">
        <v>2027</v>
      </c>
      <c r="H179" s="9">
        <f t="shared" si="43"/>
        <v>48.315300000000015</v>
      </c>
      <c r="I179" s="9">
        <f t="shared" si="44"/>
        <v>6.8024448000000017</v>
      </c>
      <c r="J179" s="32">
        <f t="shared" si="42"/>
        <v>55.117744800000018</v>
      </c>
    </row>
    <row r="180" spans="2:10" x14ac:dyDescent="0.35">
      <c r="C180" s="3"/>
      <c r="G180" s="33">
        <v>2028</v>
      </c>
      <c r="H180" s="9">
        <f t="shared" si="43"/>
        <v>53.146830000000023</v>
      </c>
      <c r="I180" s="9">
        <f t="shared" si="44"/>
        <v>7.3466403840000023</v>
      </c>
      <c r="J180" s="32">
        <f t="shared" si="42"/>
        <v>60.493470384000027</v>
      </c>
    </row>
    <row r="181" spans="2:10" x14ac:dyDescent="0.35">
      <c r="G181" s="33">
        <v>2029</v>
      </c>
      <c r="H181" s="9">
        <f t="shared" si="43"/>
        <v>58.461513000000032</v>
      </c>
      <c r="I181" s="9">
        <f t="shared" si="44"/>
        <v>7.9343716147200034</v>
      </c>
      <c r="J181" s="32">
        <f t="shared" si="42"/>
        <v>66.395884614720032</v>
      </c>
    </row>
    <row r="182" spans="2:10" x14ac:dyDescent="0.35">
      <c r="G182" s="33">
        <v>2030</v>
      </c>
      <c r="H182" s="9">
        <f t="shared" si="43"/>
        <v>64.307664300000042</v>
      </c>
      <c r="I182" s="9">
        <f t="shared" si="44"/>
        <v>8.5691213438976046</v>
      </c>
      <c r="J182" s="32">
        <f t="shared" si="42"/>
        <v>72.876785643897648</v>
      </c>
    </row>
    <row r="183" spans="2:10" x14ac:dyDescent="0.35">
      <c r="G183" s="33">
        <v>2031</v>
      </c>
      <c r="H183" s="9">
        <f t="shared" si="43"/>
        <v>70.738430730000047</v>
      </c>
      <c r="I183" s="9">
        <f t="shared" si="44"/>
        <v>9.2546510514094145</v>
      </c>
      <c r="J183" s="32">
        <f t="shared" si="42"/>
        <v>79.993081781409458</v>
      </c>
    </row>
    <row r="184" spans="2:10" x14ac:dyDescent="0.35">
      <c r="B184" s="39"/>
      <c r="C184" s="40"/>
      <c r="G184" s="33">
        <v>2032</v>
      </c>
      <c r="H184" s="9">
        <f t="shared" si="43"/>
        <v>77.812273803000053</v>
      </c>
      <c r="I184" s="9">
        <f t="shared" si="44"/>
        <v>9.9950231355221675</v>
      </c>
      <c r="J184" s="32">
        <f t="shared" si="42"/>
        <v>87.807296938522228</v>
      </c>
    </row>
    <row r="185" spans="2:10" x14ac:dyDescent="0.35">
      <c r="B185" s="15" t="s">
        <v>12</v>
      </c>
      <c r="C185" s="15" t="s">
        <v>54</v>
      </c>
      <c r="G185" s="34">
        <v>2033</v>
      </c>
      <c r="H185" s="35">
        <f t="shared" ref="H185:H199" si="45">H184*(1+10%)</f>
        <v>85.593501183300063</v>
      </c>
      <c r="I185" s="35">
        <f t="shared" ref="I185:I199" si="46">I184*(1+8%)</f>
        <v>10.794624986363942</v>
      </c>
      <c r="J185" s="36">
        <f t="shared" ref="J185:J199" si="47">H185+I185</f>
        <v>96.388126169664005</v>
      </c>
    </row>
    <row r="186" spans="2:10" x14ac:dyDescent="0.35">
      <c r="B186" s="33">
        <v>2022</v>
      </c>
      <c r="C186" s="33">
        <v>600</v>
      </c>
      <c r="G186" s="33">
        <v>2034</v>
      </c>
      <c r="H186" s="9">
        <f t="shared" si="45"/>
        <v>94.152851301630079</v>
      </c>
      <c r="I186" s="9">
        <f t="shared" si="46"/>
        <v>11.658194985273058</v>
      </c>
      <c r="J186" s="32">
        <f t="shared" si="47"/>
        <v>105.81104628690314</v>
      </c>
    </row>
    <row r="187" spans="2:10" x14ac:dyDescent="0.35">
      <c r="B187" s="33">
        <v>2023</v>
      </c>
      <c r="C187" s="42">
        <f>C186*(1+1.5%)</f>
        <v>608.99999999999989</v>
      </c>
      <c r="G187" s="33">
        <v>2035</v>
      </c>
      <c r="H187" s="9">
        <f t="shared" si="45"/>
        <v>103.56813643179309</v>
      </c>
      <c r="I187" s="9">
        <f t="shared" si="46"/>
        <v>12.590850584094904</v>
      </c>
      <c r="J187" s="32">
        <f t="shared" si="47"/>
        <v>116.158987015888</v>
      </c>
    </row>
    <row r="188" spans="2:10" x14ac:dyDescent="0.35">
      <c r="B188" s="33">
        <v>2024</v>
      </c>
      <c r="C188" s="42">
        <f t="shared" ref="C188:C196" si="48">C187*(1+1.5%)</f>
        <v>618.13499999999988</v>
      </c>
      <c r="G188" s="33">
        <v>2036</v>
      </c>
      <c r="H188" s="9">
        <f t="shared" si="45"/>
        <v>113.92495007497241</v>
      </c>
      <c r="I188" s="9">
        <f t="shared" si="46"/>
        <v>13.598118630822498</v>
      </c>
      <c r="J188" s="32">
        <f t="shared" si="47"/>
        <v>127.52306870579491</v>
      </c>
    </row>
    <row r="189" spans="2:10" x14ac:dyDescent="0.35">
      <c r="B189" s="41">
        <v>2025</v>
      </c>
      <c r="C189" s="42">
        <f t="shared" si="48"/>
        <v>627.40702499999986</v>
      </c>
      <c r="G189" s="34">
        <v>2037</v>
      </c>
      <c r="H189" s="35">
        <f t="shared" si="45"/>
        <v>125.31744508246966</v>
      </c>
      <c r="I189" s="35">
        <f t="shared" si="46"/>
        <v>14.685968121288299</v>
      </c>
      <c r="J189" s="36">
        <f t="shared" si="47"/>
        <v>140.00341320375796</v>
      </c>
    </row>
    <row r="190" spans="2:10" x14ac:dyDescent="0.35">
      <c r="B190" s="34">
        <v>2026</v>
      </c>
      <c r="C190" s="43">
        <f t="shared" si="48"/>
        <v>636.81813037499978</v>
      </c>
      <c r="G190" s="33">
        <v>2038</v>
      </c>
      <c r="H190" s="9">
        <f t="shared" si="45"/>
        <v>137.84918959071663</v>
      </c>
      <c r="I190" s="9">
        <f t="shared" si="46"/>
        <v>15.860845570991364</v>
      </c>
      <c r="J190" s="32">
        <f t="shared" si="47"/>
        <v>153.71003516170799</v>
      </c>
    </row>
    <row r="191" spans="2:10" x14ac:dyDescent="0.35">
      <c r="B191" s="17">
        <v>2027</v>
      </c>
      <c r="C191" s="50">
        <f t="shared" si="48"/>
        <v>646.37040233062476</v>
      </c>
      <c r="G191" s="33">
        <v>2039</v>
      </c>
      <c r="H191" s="9">
        <f t="shared" si="45"/>
        <v>151.63410854978832</v>
      </c>
      <c r="I191" s="9">
        <f t="shared" si="46"/>
        <v>17.129713216670673</v>
      </c>
      <c r="J191" s="32">
        <f t="shared" si="47"/>
        <v>168.76382176645899</v>
      </c>
    </row>
    <row r="192" spans="2:10" x14ac:dyDescent="0.35">
      <c r="B192" s="17">
        <v>2028</v>
      </c>
      <c r="C192" s="50">
        <f t="shared" si="48"/>
        <v>656.06595836558404</v>
      </c>
      <c r="G192" s="33">
        <v>2040</v>
      </c>
      <c r="H192" s="9">
        <f t="shared" si="45"/>
        <v>166.79751940476717</v>
      </c>
      <c r="I192" s="9">
        <f t="shared" si="46"/>
        <v>18.500090274004329</v>
      </c>
      <c r="J192" s="32">
        <f t="shared" si="47"/>
        <v>185.29760967877149</v>
      </c>
    </row>
    <row r="193" spans="2:10" x14ac:dyDescent="0.35">
      <c r="B193" s="17">
        <v>2029</v>
      </c>
      <c r="C193" s="50">
        <f t="shared" si="48"/>
        <v>665.90694774106771</v>
      </c>
      <c r="G193" s="34">
        <v>2041</v>
      </c>
      <c r="H193" s="35">
        <f t="shared" si="45"/>
        <v>183.47727134524391</v>
      </c>
      <c r="I193" s="35">
        <f t="shared" si="46"/>
        <v>19.980097495924678</v>
      </c>
      <c r="J193" s="36">
        <f t="shared" si="47"/>
        <v>203.45736884116857</v>
      </c>
    </row>
    <row r="194" spans="2:10" x14ac:dyDescent="0.35">
      <c r="B194" s="17">
        <v>2030</v>
      </c>
      <c r="C194" s="50">
        <f t="shared" si="48"/>
        <v>675.89555195718367</v>
      </c>
      <c r="G194" s="34">
        <v>2042</v>
      </c>
      <c r="H194" s="35">
        <f t="shared" si="45"/>
        <v>201.82499847976831</v>
      </c>
      <c r="I194" s="35">
        <f t="shared" si="46"/>
        <v>21.578505295598653</v>
      </c>
      <c r="J194" s="36">
        <f t="shared" si="47"/>
        <v>223.40350377536697</v>
      </c>
    </row>
    <row r="195" spans="2:10" x14ac:dyDescent="0.35">
      <c r="B195" s="17">
        <v>2031</v>
      </c>
      <c r="C195" s="50">
        <f t="shared" si="48"/>
        <v>686.03398523654141</v>
      </c>
      <c r="G195" s="33">
        <v>2043</v>
      </c>
      <c r="H195" s="9">
        <f t="shared" si="45"/>
        <v>222.00749832774517</v>
      </c>
      <c r="I195" s="9">
        <f t="shared" si="46"/>
        <v>23.304785719246546</v>
      </c>
      <c r="J195" s="32">
        <f t="shared" si="47"/>
        <v>245.31228404699172</v>
      </c>
    </row>
    <row r="196" spans="2:10" x14ac:dyDescent="0.35">
      <c r="B196" s="17">
        <v>2032</v>
      </c>
      <c r="C196" s="50">
        <f t="shared" si="48"/>
        <v>696.3244950150895</v>
      </c>
      <c r="G196" s="33">
        <v>2044</v>
      </c>
      <c r="H196" s="9">
        <f t="shared" si="45"/>
        <v>244.2082481605197</v>
      </c>
      <c r="I196" s="9">
        <f t="shared" si="46"/>
        <v>25.169168576786269</v>
      </c>
      <c r="J196" s="32">
        <f t="shared" si="47"/>
        <v>269.37741673730596</v>
      </c>
    </row>
    <row r="197" spans="2:10" x14ac:dyDescent="0.35">
      <c r="B197" s="51">
        <v>2033</v>
      </c>
      <c r="C197" s="52">
        <f t="shared" ref="C197:C211" si="49">C196*(1+1.5%)</f>
        <v>706.76936244031572</v>
      </c>
      <c r="G197" s="34">
        <v>2045</v>
      </c>
      <c r="H197" s="35">
        <f t="shared" si="45"/>
        <v>268.62907297657171</v>
      </c>
      <c r="I197" s="35">
        <f t="shared" si="46"/>
        <v>27.182702062929174</v>
      </c>
      <c r="J197" s="36">
        <f t="shared" si="47"/>
        <v>295.8117750395009</v>
      </c>
    </row>
    <row r="198" spans="2:10" x14ac:dyDescent="0.35">
      <c r="B198" s="17">
        <v>2034</v>
      </c>
      <c r="C198" s="50">
        <f t="shared" si="49"/>
        <v>717.37090287692035</v>
      </c>
      <c r="G198" s="34">
        <v>2046</v>
      </c>
      <c r="H198" s="35">
        <f t="shared" si="45"/>
        <v>295.49198027422892</v>
      </c>
      <c r="I198" s="35">
        <f t="shared" si="46"/>
        <v>29.357318227963511</v>
      </c>
      <c r="J198" s="36">
        <f t="shared" si="47"/>
        <v>324.84929850219243</v>
      </c>
    </row>
    <row r="199" spans="2:10" x14ac:dyDescent="0.35">
      <c r="B199" s="17">
        <v>2035</v>
      </c>
      <c r="C199" s="50">
        <f t="shared" si="49"/>
        <v>728.13146642007405</v>
      </c>
      <c r="G199" s="33">
        <v>2047</v>
      </c>
      <c r="H199" s="9">
        <f t="shared" si="45"/>
        <v>325.04117830165183</v>
      </c>
      <c r="I199" s="9">
        <f t="shared" si="46"/>
        <v>31.705903686200593</v>
      </c>
      <c r="J199" s="32">
        <f t="shared" si="47"/>
        <v>356.74708198785243</v>
      </c>
    </row>
    <row r="200" spans="2:10" x14ac:dyDescent="0.35">
      <c r="B200" s="17">
        <v>2036</v>
      </c>
      <c r="C200" s="50">
        <f t="shared" si="49"/>
        <v>739.05343841637512</v>
      </c>
    </row>
    <row r="201" spans="2:10" x14ac:dyDescent="0.35">
      <c r="B201" s="51">
        <v>2037</v>
      </c>
      <c r="C201" s="52">
        <f t="shared" si="49"/>
        <v>750.13923999262067</v>
      </c>
    </row>
    <row r="202" spans="2:10" x14ac:dyDescent="0.35">
      <c r="B202" s="17">
        <v>2038</v>
      </c>
      <c r="C202" s="50">
        <f t="shared" si="49"/>
        <v>761.39132859250992</v>
      </c>
    </row>
    <row r="203" spans="2:10" x14ac:dyDescent="0.35">
      <c r="B203" s="17">
        <v>2039</v>
      </c>
      <c r="C203" s="50">
        <f t="shared" si="49"/>
        <v>772.81219852139748</v>
      </c>
    </row>
    <row r="204" spans="2:10" x14ac:dyDescent="0.35">
      <c r="B204" s="17">
        <v>2040</v>
      </c>
      <c r="C204" s="50">
        <f t="shared" si="49"/>
        <v>784.4043814992184</v>
      </c>
    </row>
    <row r="205" spans="2:10" x14ac:dyDescent="0.35">
      <c r="B205" s="51">
        <v>2041</v>
      </c>
      <c r="C205" s="52">
        <f t="shared" si="49"/>
        <v>796.17044722170658</v>
      </c>
    </row>
    <row r="206" spans="2:10" x14ac:dyDescent="0.35">
      <c r="B206" s="51">
        <v>2042</v>
      </c>
      <c r="C206" s="52">
        <f t="shared" si="49"/>
        <v>808.11300393003205</v>
      </c>
    </row>
    <row r="207" spans="2:10" x14ac:dyDescent="0.35">
      <c r="B207" s="17">
        <v>2043</v>
      </c>
      <c r="C207" s="50">
        <f t="shared" si="49"/>
        <v>820.23469898898247</v>
      </c>
    </row>
    <row r="208" spans="2:10" x14ac:dyDescent="0.35">
      <c r="B208" s="17">
        <v>2044</v>
      </c>
      <c r="C208" s="50">
        <f t="shared" si="49"/>
        <v>832.53821947381709</v>
      </c>
    </row>
    <row r="209" spans="2:10" x14ac:dyDescent="0.35">
      <c r="B209" s="51">
        <v>2045</v>
      </c>
      <c r="C209" s="52">
        <f t="shared" si="49"/>
        <v>845.02629276592427</v>
      </c>
    </row>
    <row r="210" spans="2:10" x14ac:dyDescent="0.35">
      <c r="B210" s="51">
        <v>2046</v>
      </c>
      <c r="C210" s="52">
        <f t="shared" si="49"/>
        <v>857.70168715741306</v>
      </c>
    </row>
    <row r="211" spans="2:10" x14ac:dyDescent="0.35">
      <c r="B211" s="17">
        <v>2047</v>
      </c>
      <c r="C211" s="50">
        <f t="shared" si="49"/>
        <v>870.56721246477423</v>
      </c>
    </row>
    <row r="213" spans="2:10" ht="33.5" x14ac:dyDescent="0.75">
      <c r="B213" s="86" t="s">
        <v>55</v>
      </c>
      <c r="C213" s="86"/>
      <c r="D213" s="46"/>
      <c r="E213" s="46"/>
      <c r="F213" s="46"/>
      <c r="G213" s="46"/>
      <c r="H213" s="46"/>
      <c r="I213" s="46"/>
    </row>
    <row r="214" spans="2:10" ht="13.5" customHeight="1" x14ac:dyDescent="0.75">
      <c r="D214" s="46"/>
      <c r="E214" s="46"/>
      <c r="F214" s="46"/>
      <c r="G214" s="46"/>
      <c r="H214" s="46"/>
      <c r="I214" s="46"/>
    </row>
    <row r="216" spans="2:10" x14ac:dyDescent="0.35">
      <c r="B216" s="16" t="s">
        <v>57</v>
      </c>
      <c r="C216" s="16" t="s">
        <v>56</v>
      </c>
    </row>
    <row r="217" spans="2:10" x14ac:dyDescent="0.35">
      <c r="B217" s="16" t="s">
        <v>58</v>
      </c>
      <c r="C217" s="53">
        <v>0.05</v>
      </c>
    </row>
    <row r="218" spans="2:10" x14ac:dyDescent="0.35">
      <c r="B218" s="16" t="s">
        <v>59</v>
      </c>
      <c r="C218" s="16"/>
    </row>
    <row r="219" spans="2:10" x14ac:dyDescent="0.35">
      <c r="B219" s="16" t="s">
        <v>60</v>
      </c>
      <c r="C219" s="16" t="s">
        <v>61</v>
      </c>
    </row>
    <row r="220" spans="2:10" x14ac:dyDescent="0.35">
      <c r="B220" s="16" t="s">
        <v>58</v>
      </c>
      <c r="C220" s="53">
        <v>0.1</v>
      </c>
    </row>
    <row r="222" spans="2:10" x14ac:dyDescent="0.35">
      <c r="B222" s="48" t="s">
        <v>12</v>
      </c>
      <c r="C222" s="92" t="s">
        <v>65</v>
      </c>
      <c r="D222" s="93"/>
      <c r="E222" s="92" t="s">
        <v>64</v>
      </c>
      <c r="F222" s="93"/>
      <c r="G222" s="92" t="s">
        <v>62</v>
      </c>
      <c r="H222" s="93"/>
      <c r="I222" s="92" t="s">
        <v>63</v>
      </c>
      <c r="J222" s="93"/>
    </row>
    <row r="223" spans="2:10" x14ac:dyDescent="0.35">
      <c r="B223" s="17">
        <v>2022</v>
      </c>
      <c r="C223" s="91">
        <f>400</f>
        <v>400</v>
      </c>
      <c r="D223" s="91"/>
      <c r="E223" s="90">
        <f>C223*$C$145</f>
        <v>0</v>
      </c>
      <c r="F223" s="90"/>
      <c r="G223" s="90">
        <f>40</f>
        <v>40</v>
      </c>
      <c r="H223" s="90"/>
      <c r="I223" s="90">
        <f>C223+E223+G223</f>
        <v>440</v>
      </c>
      <c r="J223" s="91"/>
    </row>
    <row r="224" spans="2:10" x14ac:dyDescent="0.35">
      <c r="B224" s="17">
        <v>2023</v>
      </c>
      <c r="C224" s="90">
        <f>C223*(1+$C$217)</f>
        <v>420</v>
      </c>
      <c r="D224" s="90"/>
      <c r="E224" s="90">
        <f>C224*$C$220</f>
        <v>42</v>
      </c>
      <c r="F224" s="90"/>
      <c r="G224" s="90">
        <f>G223*(1+$C$220)</f>
        <v>44</v>
      </c>
      <c r="H224" s="90"/>
      <c r="I224" s="90">
        <f t="shared" ref="I224:I233" si="50">C224+E224+G224</f>
        <v>506</v>
      </c>
      <c r="J224" s="91"/>
    </row>
    <row r="225" spans="2:10" x14ac:dyDescent="0.35">
      <c r="B225" s="17">
        <v>2024</v>
      </c>
      <c r="C225" s="90">
        <f>C224*(1+$C$217)</f>
        <v>441</v>
      </c>
      <c r="D225" s="90"/>
      <c r="E225" s="90">
        <f t="shared" ref="E225:E233" si="51">C225*$C$220</f>
        <v>44.1</v>
      </c>
      <c r="F225" s="90"/>
      <c r="G225" s="90">
        <f t="shared" ref="G225:G233" si="52">G224*(1+$C$220)</f>
        <v>48.400000000000006</v>
      </c>
      <c r="H225" s="90"/>
      <c r="I225" s="90">
        <f t="shared" si="50"/>
        <v>533.5</v>
      </c>
      <c r="J225" s="91"/>
    </row>
    <row r="226" spans="2:10" x14ac:dyDescent="0.35">
      <c r="B226" s="17">
        <v>2025</v>
      </c>
      <c r="C226" s="90">
        <f t="shared" ref="C226:C233" si="53">C225*(1+$C$217)</f>
        <v>463.05</v>
      </c>
      <c r="D226" s="90"/>
      <c r="E226" s="90">
        <f t="shared" si="51"/>
        <v>46.305000000000007</v>
      </c>
      <c r="F226" s="90"/>
      <c r="G226" s="90">
        <f t="shared" si="52"/>
        <v>53.240000000000009</v>
      </c>
      <c r="H226" s="90"/>
      <c r="I226" s="90">
        <f t="shared" si="50"/>
        <v>562.59500000000003</v>
      </c>
      <c r="J226" s="91"/>
    </row>
    <row r="227" spans="2:10" x14ac:dyDescent="0.35">
      <c r="B227" s="17">
        <v>2026</v>
      </c>
      <c r="C227" s="90">
        <f t="shared" si="53"/>
        <v>486.20250000000004</v>
      </c>
      <c r="D227" s="90"/>
      <c r="E227" s="90">
        <f t="shared" si="51"/>
        <v>48.620250000000006</v>
      </c>
      <c r="F227" s="90"/>
      <c r="G227" s="90">
        <f t="shared" si="52"/>
        <v>58.564000000000014</v>
      </c>
      <c r="H227" s="90"/>
      <c r="I227" s="90">
        <f t="shared" si="50"/>
        <v>593.38675000000001</v>
      </c>
      <c r="J227" s="91"/>
    </row>
    <row r="228" spans="2:10" x14ac:dyDescent="0.35">
      <c r="B228" s="17">
        <v>2027</v>
      </c>
      <c r="C228" s="90">
        <f t="shared" si="53"/>
        <v>510.51262500000007</v>
      </c>
      <c r="D228" s="90"/>
      <c r="E228" s="90">
        <f t="shared" si="51"/>
        <v>51.051262500000007</v>
      </c>
      <c r="F228" s="90"/>
      <c r="G228" s="90">
        <f t="shared" si="52"/>
        <v>64.420400000000015</v>
      </c>
      <c r="H228" s="90"/>
      <c r="I228" s="90">
        <f t="shared" si="50"/>
        <v>625.98428750000005</v>
      </c>
      <c r="J228" s="91"/>
    </row>
    <row r="229" spans="2:10" x14ac:dyDescent="0.35">
      <c r="B229" s="17">
        <v>2028</v>
      </c>
      <c r="C229" s="90">
        <f t="shared" si="53"/>
        <v>536.03825625000013</v>
      </c>
      <c r="D229" s="90"/>
      <c r="E229" s="90">
        <f t="shared" si="51"/>
        <v>53.603825625000013</v>
      </c>
      <c r="F229" s="90"/>
      <c r="G229" s="90">
        <f t="shared" si="52"/>
        <v>70.862440000000021</v>
      </c>
      <c r="H229" s="90"/>
      <c r="I229" s="90">
        <f t="shared" si="50"/>
        <v>660.50452187500014</v>
      </c>
      <c r="J229" s="91"/>
    </row>
    <row r="230" spans="2:10" x14ac:dyDescent="0.35">
      <c r="B230" s="17">
        <v>2029</v>
      </c>
      <c r="C230" s="90">
        <f t="shared" si="53"/>
        <v>562.84016906250019</v>
      </c>
      <c r="D230" s="90"/>
      <c r="E230" s="90">
        <f t="shared" si="51"/>
        <v>56.284016906250024</v>
      </c>
      <c r="F230" s="90"/>
      <c r="G230" s="90">
        <f t="shared" si="52"/>
        <v>77.948684000000029</v>
      </c>
      <c r="H230" s="90"/>
      <c r="I230" s="90">
        <f t="shared" si="50"/>
        <v>697.0728699687503</v>
      </c>
      <c r="J230" s="91"/>
    </row>
    <row r="231" spans="2:10" x14ac:dyDescent="0.35">
      <c r="B231" s="17">
        <v>2030</v>
      </c>
      <c r="C231" s="90">
        <f t="shared" si="53"/>
        <v>590.98217751562527</v>
      </c>
      <c r="D231" s="90"/>
      <c r="E231" s="90">
        <f t="shared" si="51"/>
        <v>59.09821775156253</v>
      </c>
      <c r="F231" s="90"/>
      <c r="G231" s="90">
        <f t="shared" si="52"/>
        <v>85.743552400000041</v>
      </c>
      <c r="H231" s="90"/>
      <c r="I231" s="90">
        <f t="shared" si="50"/>
        <v>735.82394766718778</v>
      </c>
      <c r="J231" s="91"/>
    </row>
    <row r="232" spans="2:10" x14ac:dyDescent="0.35">
      <c r="B232" s="17">
        <v>2031</v>
      </c>
      <c r="C232" s="90">
        <f t="shared" si="53"/>
        <v>620.53128639140652</v>
      </c>
      <c r="D232" s="90"/>
      <c r="E232" s="90">
        <f t="shared" si="51"/>
        <v>62.053128639140652</v>
      </c>
      <c r="F232" s="90"/>
      <c r="G232" s="90">
        <f t="shared" si="52"/>
        <v>94.317907640000058</v>
      </c>
      <c r="H232" s="90"/>
      <c r="I232" s="90">
        <f t="shared" si="50"/>
        <v>776.90232267054728</v>
      </c>
      <c r="J232" s="91"/>
    </row>
    <row r="233" spans="2:10" x14ac:dyDescent="0.35">
      <c r="B233" s="17">
        <v>2032</v>
      </c>
      <c r="C233" s="90">
        <f t="shared" si="53"/>
        <v>651.55785071097682</v>
      </c>
      <c r="D233" s="90"/>
      <c r="E233" s="90">
        <f t="shared" si="51"/>
        <v>65.155785071097682</v>
      </c>
      <c r="F233" s="90"/>
      <c r="G233" s="90">
        <f t="shared" si="52"/>
        <v>103.74969840400007</v>
      </c>
      <c r="H233" s="90"/>
      <c r="I233" s="90">
        <f t="shared" si="50"/>
        <v>820.46333418607469</v>
      </c>
      <c r="J233" s="91"/>
    </row>
    <row r="234" spans="2:10" x14ac:dyDescent="0.35">
      <c r="B234" s="17">
        <v>2033</v>
      </c>
      <c r="C234" s="90">
        <f t="shared" ref="C234:C248" si="54">C233*(1+$C$217)</f>
        <v>684.13574324652575</v>
      </c>
      <c r="D234" s="90"/>
      <c r="E234" s="90">
        <f t="shared" ref="E234:E248" si="55">C234*$C$220</f>
        <v>68.413574324652572</v>
      </c>
      <c r="F234" s="90"/>
      <c r="G234" s="90">
        <f t="shared" ref="G234:G248" si="56">G233*(1+$C$220)</f>
        <v>114.12466824440008</v>
      </c>
      <c r="H234" s="90"/>
      <c r="I234" s="90">
        <f t="shared" ref="I234:I248" si="57">C234+E234+G234</f>
        <v>866.67398581557836</v>
      </c>
      <c r="J234" s="91"/>
    </row>
    <row r="235" spans="2:10" x14ac:dyDescent="0.35">
      <c r="B235" s="17">
        <v>2034</v>
      </c>
      <c r="C235" s="90">
        <f t="shared" si="54"/>
        <v>718.3425304088521</v>
      </c>
      <c r="D235" s="90"/>
      <c r="E235" s="90">
        <f t="shared" si="55"/>
        <v>71.834253040885216</v>
      </c>
      <c r="F235" s="90"/>
      <c r="G235" s="90">
        <f t="shared" si="56"/>
        <v>125.5371350688401</v>
      </c>
      <c r="H235" s="90"/>
      <c r="I235" s="90">
        <f t="shared" si="57"/>
        <v>915.71391851857743</v>
      </c>
      <c r="J235" s="91"/>
    </row>
    <row r="236" spans="2:10" x14ac:dyDescent="0.35">
      <c r="B236" s="17">
        <v>2035</v>
      </c>
      <c r="C236" s="90">
        <f t="shared" si="54"/>
        <v>754.25965692929469</v>
      </c>
      <c r="D236" s="90"/>
      <c r="E236" s="90">
        <f t="shared" si="55"/>
        <v>75.425965692929466</v>
      </c>
      <c r="F236" s="90"/>
      <c r="G236" s="90">
        <f t="shared" si="56"/>
        <v>138.09084857572412</v>
      </c>
      <c r="H236" s="90"/>
      <c r="I236" s="90">
        <f t="shared" si="57"/>
        <v>967.77647119794824</v>
      </c>
      <c r="J236" s="91"/>
    </row>
    <row r="237" spans="2:10" x14ac:dyDescent="0.35">
      <c r="B237" s="17">
        <v>2036</v>
      </c>
      <c r="C237" s="90">
        <f t="shared" si="54"/>
        <v>791.97263977575949</v>
      </c>
      <c r="D237" s="90"/>
      <c r="E237" s="90">
        <f t="shared" si="55"/>
        <v>79.197263977575957</v>
      </c>
      <c r="F237" s="90"/>
      <c r="G237" s="90">
        <f t="shared" si="56"/>
        <v>151.89993343329655</v>
      </c>
      <c r="H237" s="90"/>
      <c r="I237" s="90">
        <f t="shared" si="57"/>
        <v>1023.069837186632</v>
      </c>
      <c r="J237" s="91"/>
    </row>
    <row r="238" spans="2:10" x14ac:dyDescent="0.35">
      <c r="B238" s="17">
        <v>2037</v>
      </c>
      <c r="C238" s="90">
        <f t="shared" si="54"/>
        <v>831.57127176454753</v>
      </c>
      <c r="D238" s="90"/>
      <c r="E238" s="90">
        <f t="shared" si="55"/>
        <v>83.157127176454765</v>
      </c>
      <c r="F238" s="90"/>
      <c r="G238" s="90">
        <f t="shared" si="56"/>
        <v>167.08992677662621</v>
      </c>
      <c r="H238" s="90"/>
      <c r="I238" s="90">
        <f t="shared" si="57"/>
        <v>1081.8183257176286</v>
      </c>
      <c r="J238" s="91"/>
    </row>
    <row r="239" spans="2:10" x14ac:dyDescent="0.35">
      <c r="B239" s="17">
        <v>2038</v>
      </c>
      <c r="C239" s="90">
        <f t="shared" si="54"/>
        <v>873.14983535277497</v>
      </c>
      <c r="D239" s="90"/>
      <c r="E239" s="90">
        <f t="shared" si="55"/>
        <v>87.314983535277506</v>
      </c>
      <c r="F239" s="90"/>
      <c r="G239" s="90">
        <f t="shared" si="56"/>
        <v>183.79891945428886</v>
      </c>
      <c r="H239" s="90"/>
      <c r="I239" s="90">
        <f t="shared" si="57"/>
        <v>1144.2637383423414</v>
      </c>
      <c r="J239" s="91"/>
    </row>
    <row r="240" spans="2:10" x14ac:dyDescent="0.35">
      <c r="B240" s="17">
        <v>2039</v>
      </c>
      <c r="C240" s="90">
        <f t="shared" si="54"/>
        <v>916.80732712041379</v>
      </c>
      <c r="D240" s="90"/>
      <c r="E240" s="90">
        <f t="shared" si="55"/>
        <v>91.68073271204139</v>
      </c>
      <c r="F240" s="90"/>
      <c r="G240" s="90">
        <f t="shared" si="56"/>
        <v>202.17881139971777</v>
      </c>
      <c r="H240" s="90"/>
      <c r="I240" s="90">
        <f t="shared" si="57"/>
        <v>1210.666871232173</v>
      </c>
      <c r="J240" s="91"/>
    </row>
    <row r="241" spans="2:10" x14ac:dyDescent="0.35">
      <c r="B241" s="17">
        <v>2040</v>
      </c>
      <c r="C241" s="90">
        <f t="shared" si="54"/>
        <v>962.64769347643448</v>
      </c>
      <c r="D241" s="90"/>
      <c r="E241" s="90">
        <f t="shared" si="55"/>
        <v>96.264769347643451</v>
      </c>
      <c r="F241" s="90"/>
      <c r="G241" s="90">
        <f t="shared" si="56"/>
        <v>222.39669253968958</v>
      </c>
      <c r="H241" s="90"/>
      <c r="I241" s="90">
        <f t="shared" si="57"/>
        <v>1281.3091553637676</v>
      </c>
      <c r="J241" s="91"/>
    </row>
    <row r="242" spans="2:10" x14ac:dyDescent="0.35">
      <c r="B242" s="17">
        <v>2041</v>
      </c>
      <c r="C242" s="90">
        <f t="shared" si="54"/>
        <v>1010.7800781502563</v>
      </c>
      <c r="D242" s="90"/>
      <c r="E242" s="90">
        <f t="shared" si="55"/>
        <v>101.07800781502563</v>
      </c>
      <c r="F242" s="90"/>
      <c r="G242" s="90">
        <f t="shared" si="56"/>
        <v>244.63636179365855</v>
      </c>
      <c r="H242" s="90"/>
      <c r="I242" s="90">
        <f t="shared" si="57"/>
        <v>1356.4944477589404</v>
      </c>
      <c r="J242" s="91"/>
    </row>
    <row r="243" spans="2:10" x14ac:dyDescent="0.35">
      <c r="B243" s="17">
        <v>2042</v>
      </c>
      <c r="C243" s="90">
        <f t="shared" si="54"/>
        <v>1061.319082057769</v>
      </c>
      <c r="D243" s="90"/>
      <c r="E243" s="90">
        <f t="shared" si="55"/>
        <v>106.13190820577691</v>
      </c>
      <c r="F243" s="90"/>
      <c r="G243" s="90">
        <f t="shared" si="56"/>
        <v>269.09999797302441</v>
      </c>
      <c r="H243" s="90"/>
      <c r="I243" s="90">
        <f t="shared" si="57"/>
        <v>1436.5509882365704</v>
      </c>
      <c r="J243" s="91"/>
    </row>
    <row r="244" spans="2:10" x14ac:dyDescent="0.35">
      <c r="B244" s="17">
        <v>2043</v>
      </c>
      <c r="C244" s="90">
        <f t="shared" si="54"/>
        <v>1114.3850361606576</v>
      </c>
      <c r="D244" s="90"/>
      <c r="E244" s="90">
        <f t="shared" si="55"/>
        <v>111.43850361606576</v>
      </c>
      <c r="F244" s="90"/>
      <c r="G244" s="90">
        <f t="shared" si="56"/>
        <v>296.00999777032689</v>
      </c>
      <c r="H244" s="90"/>
      <c r="I244" s="90">
        <f t="shared" si="57"/>
        <v>1521.8335375470504</v>
      </c>
      <c r="J244" s="91"/>
    </row>
    <row r="245" spans="2:10" x14ac:dyDescent="0.35">
      <c r="B245" s="17">
        <v>2044</v>
      </c>
      <c r="C245" s="90">
        <f t="shared" si="54"/>
        <v>1170.1042879686904</v>
      </c>
      <c r="D245" s="90"/>
      <c r="E245" s="90">
        <f t="shared" si="55"/>
        <v>117.01042879686905</v>
      </c>
      <c r="F245" s="90"/>
      <c r="G245" s="90">
        <f t="shared" si="56"/>
        <v>325.6109975473596</v>
      </c>
      <c r="H245" s="90"/>
      <c r="I245" s="90">
        <f t="shared" si="57"/>
        <v>1612.7257143129191</v>
      </c>
      <c r="J245" s="91"/>
    </row>
    <row r="246" spans="2:10" x14ac:dyDescent="0.35">
      <c r="B246" s="17">
        <v>2045</v>
      </c>
      <c r="C246" s="90">
        <f t="shared" si="54"/>
        <v>1228.6095023671251</v>
      </c>
      <c r="D246" s="90"/>
      <c r="E246" s="90">
        <f t="shared" si="55"/>
        <v>122.86095023671251</v>
      </c>
      <c r="F246" s="90"/>
      <c r="G246" s="90">
        <f t="shared" si="56"/>
        <v>358.17209730209561</v>
      </c>
      <c r="H246" s="90"/>
      <c r="I246" s="90">
        <f t="shared" si="57"/>
        <v>1709.6425499059333</v>
      </c>
      <c r="J246" s="91"/>
    </row>
    <row r="247" spans="2:10" x14ac:dyDescent="0.35">
      <c r="B247" s="17">
        <v>2046</v>
      </c>
      <c r="C247" s="90">
        <f t="shared" si="54"/>
        <v>1290.0399774854814</v>
      </c>
      <c r="D247" s="90"/>
      <c r="E247" s="90">
        <f t="shared" si="55"/>
        <v>129.00399774854813</v>
      </c>
      <c r="F247" s="90"/>
      <c r="G247" s="90">
        <f t="shared" si="56"/>
        <v>393.98930703230519</v>
      </c>
      <c r="H247" s="90"/>
      <c r="I247" s="90">
        <f t="shared" si="57"/>
        <v>1813.0332822663345</v>
      </c>
      <c r="J247" s="91"/>
    </row>
    <row r="248" spans="2:10" x14ac:dyDescent="0.35">
      <c r="B248" s="17">
        <v>2047</v>
      </c>
      <c r="C248" s="90">
        <f t="shared" si="54"/>
        <v>1354.5419763597554</v>
      </c>
      <c r="D248" s="90"/>
      <c r="E248" s="90">
        <f t="shared" si="55"/>
        <v>135.45419763597553</v>
      </c>
      <c r="F248" s="90"/>
      <c r="G248" s="90">
        <f t="shared" si="56"/>
        <v>433.38823773553577</v>
      </c>
      <c r="H248" s="90"/>
      <c r="I248" s="90">
        <f t="shared" si="57"/>
        <v>1923.3844117312667</v>
      </c>
      <c r="J248" s="91"/>
    </row>
    <row r="251" spans="2:10" x14ac:dyDescent="0.35">
      <c r="B251" s="86" t="s">
        <v>66</v>
      </c>
      <c r="C251" s="86"/>
    </row>
    <row r="252" spans="2:10" x14ac:dyDescent="0.35">
      <c r="B252" s="86"/>
      <c r="C252" s="86"/>
    </row>
    <row r="254" spans="2:10" x14ac:dyDescent="0.35">
      <c r="B254" s="16" t="s">
        <v>67</v>
      </c>
      <c r="C254" s="16" t="s">
        <v>68</v>
      </c>
    </row>
    <row r="255" spans="2:10" x14ac:dyDescent="0.35">
      <c r="B255" s="17"/>
      <c r="C255" s="17" t="s">
        <v>69</v>
      </c>
    </row>
    <row r="256" spans="2:10" x14ac:dyDescent="0.35">
      <c r="B256" s="17" t="s">
        <v>73</v>
      </c>
      <c r="C256" s="54">
        <v>0.15</v>
      </c>
    </row>
    <row r="257" spans="2:4" x14ac:dyDescent="0.35">
      <c r="B257" s="17" t="s">
        <v>71</v>
      </c>
      <c r="C257" s="54">
        <v>0.05</v>
      </c>
    </row>
    <row r="258" spans="2:4" x14ac:dyDescent="0.35">
      <c r="B258" s="16"/>
      <c r="C258" s="16"/>
    </row>
    <row r="259" spans="2:4" x14ac:dyDescent="0.35">
      <c r="B259" s="48" t="s">
        <v>12</v>
      </c>
      <c r="C259" s="48" t="s">
        <v>70</v>
      </c>
      <c r="D259" s="48" t="s">
        <v>72</v>
      </c>
    </row>
    <row r="260" spans="2:4" x14ac:dyDescent="0.35">
      <c r="B260" s="17">
        <v>2022</v>
      </c>
      <c r="C260" s="50">
        <v>500</v>
      </c>
      <c r="D260" s="50">
        <v>500</v>
      </c>
    </row>
    <row r="261" spans="2:4" x14ac:dyDescent="0.35">
      <c r="B261" s="17">
        <v>2023</v>
      </c>
      <c r="C261" s="50">
        <f>D261*(1+$C$256)</f>
        <v>603.75</v>
      </c>
      <c r="D261" s="50">
        <f>D260*(1+$C$257)</f>
        <v>525</v>
      </c>
    </row>
    <row r="262" spans="2:4" x14ac:dyDescent="0.35">
      <c r="B262" s="17">
        <v>2024</v>
      </c>
      <c r="C262" s="50">
        <f t="shared" ref="C262:C285" si="58">D262*(1+$C$256)</f>
        <v>633.9375</v>
      </c>
      <c r="D262" s="50">
        <f t="shared" ref="D262:D270" si="59">D261*(1+$C$257)</f>
        <v>551.25</v>
      </c>
    </row>
    <row r="263" spans="2:4" x14ac:dyDescent="0.35">
      <c r="B263" s="17">
        <v>2025</v>
      </c>
      <c r="C263" s="50">
        <f t="shared" si="58"/>
        <v>665.63437499999998</v>
      </c>
      <c r="D263" s="50">
        <f t="shared" si="59"/>
        <v>578.8125</v>
      </c>
    </row>
    <row r="264" spans="2:4" x14ac:dyDescent="0.35">
      <c r="B264" s="17">
        <v>2026</v>
      </c>
      <c r="C264" s="50">
        <f t="shared" si="58"/>
        <v>698.91609375000007</v>
      </c>
      <c r="D264" s="50">
        <f t="shared" si="59"/>
        <v>607.75312500000007</v>
      </c>
    </row>
    <row r="265" spans="2:4" x14ac:dyDescent="0.35">
      <c r="B265" s="17">
        <v>2027</v>
      </c>
      <c r="C265" s="50">
        <f t="shared" si="58"/>
        <v>733.86189843750014</v>
      </c>
      <c r="D265" s="50">
        <f t="shared" si="59"/>
        <v>638.14078125000015</v>
      </c>
    </row>
    <row r="266" spans="2:4" x14ac:dyDescent="0.35">
      <c r="B266" s="17">
        <v>2028</v>
      </c>
      <c r="C266" s="50">
        <f t="shared" si="58"/>
        <v>770.5549933593752</v>
      </c>
      <c r="D266" s="50">
        <f t="shared" si="59"/>
        <v>670.04782031250022</v>
      </c>
    </row>
    <row r="267" spans="2:4" x14ac:dyDescent="0.35">
      <c r="B267" s="17">
        <v>2029</v>
      </c>
      <c r="C267" s="50">
        <f t="shared" si="58"/>
        <v>809.08274302734389</v>
      </c>
      <c r="D267" s="50">
        <f t="shared" si="59"/>
        <v>703.55021132812522</v>
      </c>
    </row>
    <row r="268" spans="2:4" x14ac:dyDescent="0.35">
      <c r="B268" s="17">
        <v>2030</v>
      </c>
      <c r="C268" s="50">
        <f t="shared" si="58"/>
        <v>849.53688017871127</v>
      </c>
      <c r="D268" s="50">
        <f t="shared" si="59"/>
        <v>738.72772189453156</v>
      </c>
    </row>
    <row r="269" spans="2:4" x14ac:dyDescent="0.35">
      <c r="B269" s="17">
        <v>2031</v>
      </c>
      <c r="C269" s="50">
        <f t="shared" si="58"/>
        <v>892.01372418764674</v>
      </c>
      <c r="D269" s="50">
        <f t="shared" si="59"/>
        <v>775.66410798925813</v>
      </c>
    </row>
    <row r="270" spans="2:4" x14ac:dyDescent="0.35">
      <c r="B270" s="17">
        <v>2032</v>
      </c>
      <c r="C270" s="50">
        <f t="shared" si="58"/>
        <v>936.61441039702925</v>
      </c>
      <c r="D270" s="50">
        <f t="shared" si="59"/>
        <v>814.44731338872111</v>
      </c>
    </row>
    <row r="271" spans="2:4" x14ac:dyDescent="0.35">
      <c r="B271" s="17">
        <v>2033</v>
      </c>
      <c r="C271" s="50">
        <f t="shared" si="58"/>
        <v>983.44513091688066</v>
      </c>
      <c r="D271" s="50">
        <f t="shared" ref="D271:D285" si="60">D270*(1+$C$257)</f>
        <v>855.16967905815716</v>
      </c>
    </row>
    <row r="272" spans="2:4" x14ac:dyDescent="0.35">
      <c r="B272" s="17">
        <v>2034</v>
      </c>
      <c r="C272" s="50">
        <f t="shared" si="58"/>
        <v>1032.6173874627248</v>
      </c>
      <c r="D272" s="50">
        <f t="shared" si="60"/>
        <v>897.92816301106507</v>
      </c>
    </row>
    <row r="273" spans="2:4" x14ac:dyDescent="0.35">
      <c r="B273" s="17">
        <v>2035</v>
      </c>
      <c r="C273" s="50">
        <f t="shared" si="58"/>
        <v>1084.248256835861</v>
      </c>
      <c r="D273" s="50">
        <f t="shared" si="60"/>
        <v>942.82457116161834</v>
      </c>
    </row>
    <row r="274" spans="2:4" x14ac:dyDescent="0.35">
      <c r="B274" s="17">
        <v>2036</v>
      </c>
      <c r="C274" s="50">
        <f t="shared" si="58"/>
        <v>1138.4606696776541</v>
      </c>
      <c r="D274" s="50">
        <f t="shared" si="60"/>
        <v>989.96579971969925</v>
      </c>
    </row>
    <row r="275" spans="2:4" x14ac:dyDescent="0.35">
      <c r="B275" s="17">
        <v>2037</v>
      </c>
      <c r="C275" s="50">
        <f t="shared" si="58"/>
        <v>1195.3837031615369</v>
      </c>
      <c r="D275" s="50">
        <f t="shared" si="60"/>
        <v>1039.4640897056843</v>
      </c>
    </row>
    <row r="276" spans="2:4" x14ac:dyDescent="0.35">
      <c r="B276" s="17">
        <v>2038</v>
      </c>
      <c r="C276" s="50">
        <f t="shared" si="58"/>
        <v>1255.1528883196136</v>
      </c>
      <c r="D276" s="50">
        <f t="shared" si="60"/>
        <v>1091.4372941909685</v>
      </c>
    </row>
    <row r="277" spans="2:4" x14ac:dyDescent="0.35">
      <c r="B277" s="17">
        <v>2039</v>
      </c>
      <c r="C277" s="50">
        <f t="shared" si="58"/>
        <v>1317.9105327355944</v>
      </c>
      <c r="D277" s="50">
        <f t="shared" si="60"/>
        <v>1146.0091589005169</v>
      </c>
    </row>
    <row r="278" spans="2:4" x14ac:dyDescent="0.35">
      <c r="B278" s="17">
        <v>2040</v>
      </c>
      <c r="C278" s="50">
        <f t="shared" si="58"/>
        <v>1383.8060593723742</v>
      </c>
      <c r="D278" s="50">
        <f t="shared" si="60"/>
        <v>1203.3096168455429</v>
      </c>
    </row>
    <row r="279" spans="2:4" x14ac:dyDescent="0.35">
      <c r="B279" s="17">
        <v>2041</v>
      </c>
      <c r="C279" s="50">
        <f t="shared" si="58"/>
        <v>1452.9963623409931</v>
      </c>
      <c r="D279" s="50">
        <f t="shared" si="60"/>
        <v>1263.4750976878202</v>
      </c>
    </row>
    <row r="280" spans="2:4" x14ac:dyDescent="0.35">
      <c r="B280" s="17">
        <v>2042</v>
      </c>
      <c r="C280" s="50">
        <f t="shared" si="58"/>
        <v>1525.6461804580426</v>
      </c>
      <c r="D280" s="50">
        <f t="shared" si="60"/>
        <v>1326.6488525722111</v>
      </c>
    </row>
    <row r="281" spans="2:4" x14ac:dyDescent="0.35">
      <c r="B281" s="17">
        <v>2043</v>
      </c>
      <c r="C281" s="50">
        <f t="shared" si="58"/>
        <v>1601.9284894809448</v>
      </c>
      <c r="D281" s="50">
        <f t="shared" si="60"/>
        <v>1392.9812952008217</v>
      </c>
    </row>
    <row r="282" spans="2:4" x14ac:dyDescent="0.35">
      <c r="B282" s="17">
        <v>2044</v>
      </c>
      <c r="C282" s="50">
        <f t="shared" si="58"/>
        <v>1682.0249139549924</v>
      </c>
      <c r="D282" s="50">
        <f t="shared" si="60"/>
        <v>1462.630359960863</v>
      </c>
    </row>
    <row r="283" spans="2:4" x14ac:dyDescent="0.35">
      <c r="B283" s="17">
        <v>2045</v>
      </c>
      <c r="C283" s="50">
        <f t="shared" si="58"/>
        <v>1766.126159652742</v>
      </c>
      <c r="D283" s="50">
        <f t="shared" si="60"/>
        <v>1535.7618779589061</v>
      </c>
    </row>
    <row r="284" spans="2:4" x14ac:dyDescent="0.35">
      <c r="B284" s="17">
        <v>2046</v>
      </c>
      <c r="C284" s="50">
        <f t="shared" si="58"/>
        <v>1854.432467635379</v>
      </c>
      <c r="D284" s="50">
        <f t="shared" si="60"/>
        <v>1612.5499718568515</v>
      </c>
    </row>
    <row r="285" spans="2:4" x14ac:dyDescent="0.35">
      <c r="B285" s="17">
        <v>2047</v>
      </c>
      <c r="C285" s="50">
        <f t="shared" si="58"/>
        <v>1947.1540910171479</v>
      </c>
      <c r="D285" s="50">
        <f t="shared" si="60"/>
        <v>1693.1774704496941</v>
      </c>
    </row>
    <row r="287" spans="2:4" x14ac:dyDescent="0.35">
      <c r="B287" s="86" t="s">
        <v>74</v>
      </c>
      <c r="C287" s="86"/>
    </row>
    <row r="288" spans="2:4" x14ac:dyDescent="0.35">
      <c r="B288" s="86"/>
      <c r="C288" s="86"/>
    </row>
    <row r="289" spans="2:7" x14ac:dyDescent="0.35">
      <c r="B289" s="17"/>
      <c r="C289" s="17" t="s">
        <v>78</v>
      </c>
    </row>
    <row r="290" spans="2:7" x14ac:dyDescent="0.35">
      <c r="B290" s="17" t="s">
        <v>75</v>
      </c>
      <c r="C290" s="54">
        <v>0.05</v>
      </c>
    </row>
    <row r="291" spans="2:7" x14ac:dyDescent="0.35">
      <c r="B291" s="17" t="s">
        <v>76</v>
      </c>
      <c r="C291" s="54">
        <v>0.1</v>
      </c>
    </row>
    <row r="292" spans="2:7" x14ac:dyDescent="0.35">
      <c r="B292" s="17" t="s">
        <v>77</v>
      </c>
      <c r="C292" s="54">
        <v>0.06</v>
      </c>
    </row>
    <row r="294" spans="2:7" x14ac:dyDescent="0.35">
      <c r="B294" s="48" t="s">
        <v>12</v>
      </c>
      <c r="C294" s="48" t="s">
        <v>79</v>
      </c>
      <c r="D294" s="48" t="s">
        <v>80</v>
      </c>
      <c r="E294" s="48" t="s">
        <v>76</v>
      </c>
      <c r="F294" s="48" t="s">
        <v>81</v>
      </c>
      <c r="G294" s="48" t="s">
        <v>82</v>
      </c>
    </row>
    <row r="295" spans="2:7" x14ac:dyDescent="0.35">
      <c r="B295" s="17">
        <v>2022</v>
      </c>
      <c r="C295" s="50">
        <f t="shared" ref="C295:C320" si="61">C94</f>
        <v>4800</v>
      </c>
      <c r="D295" s="50">
        <f>C295*$C$290</f>
        <v>240</v>
      </c>
      <c r="E295" s="50">
        <f>C295*$C$291</f>
        <v>480</v>
      </c>
      <c r="F295" s="50">
        <f>C295*$C$292</f>
        <v>288</v>
      </c>
      <c r="G295" s="50">
        <f>D295+E295-F295</f>
        <v>432</v>
      </c>
    </row>
    <row r="296" spans="2:7" x14ac:dyDescent="0.35">
      <c r="B296" s="17">
        <v>2023</v>
      </c>
      <c r="C296" s="50">
        <f t="shared" si="61"/>
        <v>5320.6299999999992</v>
      </c>
      <c r="D296" s="50">
        <f t="shared" ref="D296:D320" si="62">C296*$C$290</f>
        <v>266.03149999999999</v>
      </c>
      <c r="E296" s="50">
        <f t="shared" ref="E296:E320" si="63">C296*$C$291</f>
        <v>532.06299999999999</v>
      </c>
      <c r="F296" s="50">
        <f t="shared" ref="F296:F320" si="64">C296*$C$292</f>
        <v>319.23779999999994</v>
      </c>
      <c r="G296" s="50">
        <f t="shared" ref="G296:G304" si="65">D296+E296-F296</f>
        <v>478.85669999999999</v>
      </c>
    </row>
    <row r="297" spans="2:7" x14ac:dyDescent="0.35">
      <c r="B297" s="17">
        <v>2024</v>
      </c>
      <c r="C297" s="50">
        <f t="shared" si="61"/>
        <v>5782.5292979999995</v>
      </c>
      <c r="D297" s="50">
        <f t="shared" si="62"/>
        <v>289.12646489999997</v>
      </c>
      <c r="E297" s="50">
        <f t="shared" si="63"/>
        <v>578.25292979999995</v>
      </c>
      <c r="F297" s="50">
        <f t="shared" si="64"/>
        <v>346.95175787999995</v>
      </c>
      <c r="G297" s="50">
        <f t="shared" si="65"/>
        <v>520.42763681999998</v>
      </c>
    </row>
    <row r="298" spans="2:7" x14ac:dyDescent="0.35">
      <c r="B298" s="17">
        <v>2025</v>
      </c>
      <c r="C298" s="50">
        <f t="shared" si="61"/>
        <v>6287.787877194598</v>
      </c>
      <c r="D298" s="50">
        <f t="shared" si="62"/>
        <v>314.38939385972992</v>
      </c>
      <c r="E298" s="50">
        <f t="shared" si="63"/>
        <v>628.77878771945984</v>
      </c>
      <c r="F298" s="50">
        <f t="shared" si="64"/>
        <v>377.26727263167584</v>
      </c>
      <c r="G298" s="50">
        <f t="shared" si="65"/>
        <v>565.90090894751393</v>
      </c>
    </row>
    <row r="299" spans="2:7" x14ac:dyDescent="0.35">
      <c r="B299" s="17">
        <v>2026</v>
      </c>
      <c r="C299" s="50">
        <f t="shared" si="61"/>
        <v>6840.7634779013306</v>
      </c>
      <c r="D299" s="50">
        <f t="shared" si="62"/>
        <v>342.03817389506656</v>
      </c>
      <c r="E299" s="50">
        <f t="shared" si="63"/>
        <v>684.07634779013313</v>
      </c>
      <c r="F299" s="50">
        <f t="shared" si="64"/>
        <v>410.44580867407984</v>
      </c>
      <c r="G299" s="50">
        <f t="shared" si="65"/>
        <v>615.66871301111973</v>
      </c>
    </row>
    <row r="300" spans="2:7" x14ac:dyDescent="0.35">
      <c r="B300" s="17">
        <v>2027</v>
      </c>
      <c r="C300" s="50">
        <f t="shared" si="61"/>
        <v>7446.2752964686897</v>
      </c>
      <c r="D300" s="50">
        <f t="shared" si="62"/>
        <v>372.3137648234345</v>
      </c>
      <c r="E300" s="50">
        <f t="shared" si="63"/>
        <v>744.62752964686899</v>
      </c>
      <c r="F300" s="50">
        <f t="shared" si="64"/>
        <v>446.77651778812134</v>
      </c>
      <c r="G300" s="50">
        <f t="shared" si="65"/>
        <v>670.16477668218226</v>
      </c>
    </row>
    <row r="301" spans="2:7" x14ac:dyDescent="0.35">
      <c r="B301" s="17">
        <v>2028</v>
      </c>
      <c r="C301" s="50">
        <f t="shared" si="61"/>
        <v>8109.6546466836389</v>
      </c>
      <c r="D301" s="50">
        <f t="shared" si="62"/>
        <v>405.48273233418195</v>
      </c>
      <c r="E301" s="50">
        <f t="shared" si="63"/>
        <v>810.96546466836389</v>
      </c>
      <c r="F301" s="50">
        <f t="shared" si="64"/>
        <v>486.57927880101829</v>
      </c>
      <c r="G301" s="50">
        <f t="shared" si="65"/>
        <v>729.86891820152755</v>
      </c>
    </row>
    <row r="302" spans="2:7" x14ac:dyDescent="0.35">
      <c r="B302" s="17">
        <v>2029</v>
      </c>
      <c r="C302" s="50">
        <f t="shared" si="61"/>
        <v>8836.8013138293445</v>
      </c>
      <c r="D302" s="50">
        <f t="shared" si="62"/>
        <v>441.84006569146726</v>
      </c>
      <c r="E302" s="50">
        <f t="shared" si="63"/>
        <v>883.68013138293452</v>
      </c>
      <c r="F302" s="50">
        <f t="shared" si="64"/>
        <v>530.20807882976067</v>
      </c>
      <c r="G302" s="50">
        <f t="shared" si="65"/>
        <v>795.31211824464106</v>
      </c>
    </row>
    <row r="303" spans="2:7" x14ac:dyDescent="0.35">
      <c r="B303" s="17">
        <v>2030</v>
      </c>
      <c r="C303" s="50">
        <f t="shared" si="61"/>
        <v>9634.2462502705694</v>
      </c>
      <c r="D303" s="50">
        <f t="shared" si="62"/>
        <v>481.7123125135285</v>
      </c>
      <c r="E303" s="50">
        <f t="shared" si="63"/>
        <v>963.424625027057</v>
      </c>
      <c r="F303" s="50">
        <f t="shared" si="64"/>
        <v>578.05477501623409</v>
      </c>
      <c r="G303" s="50">
        <f t="shared" si="65"/>
        <v>867.08216252435136</v>
      </c>
    </row>
    <row r="304" spans="2:7" x14ac:dyDescent="0.35">
      <c r="B304" s="17">
        <v>2031</v>
      </c>
      <c r="C304" s="50">
        <f t="shared" si="61"/>
        <v>10509.221336044562</v>
      </c>
      <c r="D304" s="50">
        <f t="shared" si="62"/>
        <v>525.46106680222817</v>
      </c>
      <c r="E304" s="50">
        <f t="shared" si="63"/>
        <v>1050.9221336044563</v>
      </c>
      <c r="F304" s="50">
        <f t="shared" si="64"/>
        <v>630.55328016267367</v>
      </c>
      <c r="G304" s="50">
        <f t="shared" si="65"/>
        <v>945.82992024401074</v>
      </c>
    </row>
    <row r="305" spans="2:7" x14ac:dyDescent="0.35">
      <c r="B305" s="17">
        <v>2032</v>
      </c>
      <c r="C305" s="50">
        <f t="shared" si="61"/>
        <v>11469.73701115581</v>
      </c>
      <c r="D305" s="50">
        <f t="shared" si="62"/>
        <v>573.48685055779049</v>
      </c>
      <c r="E305" s="50">
        <f t="shared" si="63"/>
        <v>1146.973701115581</v>
      </c>
      <c r="F305" s="50">
        <f t="shared" si="64"/>
        <v>688.18422066934863</v>
      </c>
      <c r="G305" s="50">
        <f t="shared" ref="G305:G320" si="66">D305+E305-F305</f>
        <v>1032.2763310040227</v>
      </c>
    </row>
    <row r="306" spans="2:7" x14ac:dyDescent="0.35">
      <c r="B306" s="17">
        <v>2033</v>
      </c>
      <c r="C306" s="50">
        <f t="shared" si="61"/>
        <v>12524.668679113596</v>
      </c>
      <c r="D306" s="50">
        <f t="shared" si="62"/>
        <v>626.23343395567986</v>
      </c>
      <c r="E306" s="50">
        <f t="shared" si="63"/>
        <v>1252.4668679113597</v>
      </c>
      <c r="F306" s="50">
        <f t="shared" si="64"/>
        <v>751.48012074681571</v>
      </c>
      <c r="G306" s="50">
        <f t="shared" si="66"/>
        <v>1127.220181120224</v>
      </c>
    </row>
    <row r="307" spans="2:7" x14ac:dyDescent="0.35">
      <c r="B307" s="17">
        <v>2034</v>
      </c>
      <c r="C307" s="50">
        <f t="shared" si="61"/>
        <v>13683.852884826421</v>
      </c>
      <c r="D307" s="50">
        <f t="shared" si="62"/>
        <v>684.19264424132109</v>
      </c>
      <c r="E307" s="50">
        <f t="shared" si="63"/>
        <v>1368.3852884826422</v>
      </c>
      <c r="F307" s="50">
        <f t="shared" si="64"/>
        <v>821.0311730895852</v>
      </c>
      <c r="G307" s="50">
        <f t="shared" si="66"/>
        <v>1231.5467596343783</v>
      </c>
    </row>
    <row r="308" spans="2:7" x14ac:dyDescent="0.35">
      <c r="B308" s="17">
        <v>2035</v>
      </c>
      <c r="C308" s="50">
        <f t="shared" si="61"/>
        <v>14958.194385522216</v>
      </c>
      <c r="D308" s="50">
        <f t="shared" si="62"/>
        <v>747.90971927611088</v>
      </c>
      <c r="E308" s="50">
        <f t="shared" si="63"/>
        <v>1495.8194385522218</v>
      </c>
      <c r="F308" s="50">
        <f t="shared" si="64"/>
        <v>897.49166313133298</v>
      </c>
      <c r="G308" s="50">
        <f t="shared" si="66"/>
        <v>1346.2374946969994</v>
      </c>
    </row>
    <row r="309" spans="2:7" x14ac:dyDescent="0.35">
      <c r="B309" s="17">
        <v>2036</v>
      </c>
      <c r="C309" s="50">
        <f t="shared" si="61"/>
        <v>16359.785362286968</v>
      </c>
      <c r="D309" s="50">
        <f t="shared" si="62"/>
        <v>817.98926811434842</v>
      </c>
      <c r="E309" s="50">
        <f t="shared" si="63"/>
        <v>1635.9785362286968</v>
      </c>
      <c r="F309" s="50">
        <f t="shared" si="64"/>
        <v>981.58712173721801</v>
      </c>
      <c r="G309" s="50">
        <f t="shared" si="66"/>
        <v>1472.3806826058274</v>
      </c>
    </row>
    <row r="310" spans="2:7" x14ac:dyDescent="0.35">
      <c r="B310" s="17">
        <v>2037</v>
      </c>
      <c r="C310" s="50">
        <f t="shared" si="61"/>
        <v>17902.038163657224</v>
      </c>
      <c r="D310" s="50">
        <f t="shared" si="62"/>
        <v>895.10190818286128</v>
      </c>
      <c r="E310" s="50">
        <f t="shared" si="63"/>
        <v>1790.2038163657226</v>
      </c>
      <c r="F310" s="50">
        <f t="shared" si="64"/>
        <v>1074.1222898194335</v>
      </c>
      <c r="G310" s="50">
        <f t="shared" si="66"/>
        <v>1611.1834347291503</v>
      </c>
    </row>
    <row r="311" spans="2:7" x14ac:dyDescent="0.35">
      <c r="B311" s="17">
        <v>2038</v>
      </c>
      <c r="C311" s="50">
        <f t="shared" si="61"/>
        <v>19599.833133195516</v>
      </c>
      <c r="D311" s="50">
        <f t="shared" si="62"/>
        <v>979.9916566597758</v>
      </c>
      <c r="E311" s="50">
        <f t="shared" si="63"/>
        <v>1959.9833133195516</v>
      </c>
      <c r="F311" s="50">
        <f t="shared" si="64"/>
        <v>1175.9899879917309</v>
      </c>
      <c r="G311" s="50">
        <f t="shared" si="66"/>
        <v>1763.9849819875965</v>
      </c>
    </row>
    <row r="312" spans="2:7" x14ac:dyDescent="0.35">
      <c r="B312" s="17">
        <v>2039</v>
      </c>
      <c r="C312" s="50">
        <f t="shared" si="61"/>
        <v>21469.68325205272</v>
      </c>
      <c r="D312" s="50">
        <f t="shared" si="62"/>
        <v>1073.4841626026362</v>
      </c>
      <c r="E312" s="50">
        <f t="shared" si="63"/>
        <v>2146.9683252052723</v>
      </c>
      <c r="F312" s="50">
        <f t="shared" si="64"/>
        <v>1288.1809951231633</v>
      </c>
      <c r="G312" s="50">
        <f t="shared" si="66"/>
        <v>1932.271492684745</v>
      </c>
    </row>
    <row r="313" spans="2:7" x14ac:dyDescent="0.35">
      <c r="B313" s="17">
        <v>2040</v>
      </c>
      <c r="C313" s="50">
        <f t="shared" si="61"/>
        <v>23529.91752733519</v>
      </c>
      <c r="D313" s="50">
        <f t="shared" si="62"/>
        <v>1176.4958763667596</v>
      </c>
      <c r="E313" s="50">
        <f t="shared" si="63"/>
        <v>2352.9917527335192</v>
      </c>
      <c r="F313" s="50">
        <f t="shared" si="64"/>
        <v>1411.7950516401113</v>
      </c>
      <c r="G313" s="50">
        <f t="shared" si="66"/>
        <v>2117.6925774601677</v>
      </c>
    </row>
    <row r="314" spans="2:7" x14ac:dyDescent="0.35">
      <c r="B314" s="17">
        <v>2041</v>
      </c>
      <c r="C314" s="50">
        <f t="shared" si="61"/>
        <v>25800.885280053215</v>
      </c>
      <c r="D314" s="50">
        <f t="shared" si="62"/>
        <v>1290.0442640026608</v>
      </c>
      <c r="E314" s="50">
        <f t="shared" si="63"/>
        <v>2580.0885280053217</v>
      </c>
      <c r="F314" s="50">
        <f t="shared" si="64"/>
        <v>1548.0531168031928</v>
      </c>
      <c r="G314" s="50">
        <f t="shared" si="66"/>
        <v>2322.07967520479</v>
      </c>
    </row>
    <row r="315" spans="2:7" x14ac:dyDescent="0.35">
      <c r="B315" s="17">
        <v>2042</v>
      </c>
      <c r="C315" s="50">
        <f t="shared" si="61"/>
        <v>28305.183735217684</v>
      </c>
      <c r="D315" s="50">
        <f t="shared" si="62"/>
        <v>1415.2591867608844</v>
      </c>
      <c r="E315" s="50">
        <f t="shared" si="63"/>
        <v>2830.5183735217688</v>
      </c>
      <c r="F315" s="50">
        <f t="shared" si="64"/>
        <v>1698.311024113061</v>
      </c>
      <c r="G315" s="50">
        <f t="shared" si="66"/>
        <v>2547.4665361695925</v>
      </c>
    </row>
    <row r="316" spans="2:7" x14ac:dyDescent="0.35">
      <c r="B316" s="17">
        <v>2043</v>
      </c>
      <c r="C316" s="50">
        <f t="shared" si="61"/>
        <v>31067.911594273119</v>
      </c>
      <c r="D316" s="50">
        <f t="shared" si="62"/>
        <v>1553.3955797136559</v>
      </c>
      <c r="E316" s="50">
        <f t="shared" si="63"/>
        <v>3106.7911594273119</v>
      </c>
      <c r="F316" s="50">
        <f t="shared" si="64"/>
        <v>1864.0746956563871</v>
      </c>
      <c r="G316" s="50">
        <f t="shared" si="66"/>
        <v>2796.1120434845807</v>
      </c>
    </row>
    <row r="317" spans="2:7" x14ac:dyDescent="0.35">
      <c r="B317" s="17">
        <v>2044</v>
      </c>
      <c r="C317" s="50">
        <f t="shared" si="61"/>
        <v>34116.951579853594</v>
      </c>
      <c r="D317" s="50">
        <f t="shared" si="62"/>
        <v>1705.8475789926797</v>
      </c>
      <c r="E317" s="50">
        <f t="shared" si="63"/>
        <v>3411.6951579853594</v>
      </c>
      <c r="F317" s="50">
        <f t="shared" si="64"/>
        <v>2047.0170947912156</v>
      </c>
      <c r="G317" s="50">
        <f t="shared" si="66"/>
        <v>3070.5256421868235</v>
      </c>
    </row>
    <row r="318" spans="2:7" x14ac:dyDescent="0.35">
      <c r="B318" s="17">
        <v>2045</v>
      </c>
      <c r="C318" s="50">
        <f t="shared" si="61"/>
        <v>37483.285288561325</v>
      </c>
      <c r="D318" s="50">
        <f t="shared" si="62"/>
        <v>1874.1642644280664</v>
      </c>
      <c r="E318" s="50">
        <f t="shared" si="63"/>
        <v>3748.3285288561328</v>
      </c>
      <c r="F318" s="50">
        <f t="shared" si="64"/>
        <v>2248.9971173136796</v>
      </c>
      <c r="G318" s="50">
        <f t="shared" si="66"/>
        <v>3373.4956759705196</v>
      </c>
    </row>
    <row r="319" spans="2:7" x14ac:dyDescent="0.35">
      <c r="B319" s="17">
        <v>2046</v>
      </c>
      <c r="C319" s="50">
        <f t="shared" si="61"/>
        <v>41201.344073265223</v>
      </c>
      <c r="D319" s="50">
        <f t="shared" si="62"/>
        <v>2060.0672036632614</v>
      </c>
      <c r="E319" s="50">
        <f t="shared" si="63"/>
        <v>4120.1344073265227</v>
      </c>
      <c r="F319" s="50">
        <f t="shared" si="64"/>
        <v>2472.0806443959132</v>
      </c>
      <c r="G319" s="50">
        <f t="shared" si="66"/>
        <v>3708.1209665938709</v>
      </c>
    </row>
    <row r="320" spans="2:7" x14ac:dyDescent="0.35">
      <c r="B320" s="17">
        <v>2047</v>
      </c>
      <c r="C320" s="50">
        <f t="shared" si="61"/>
        <v>45309.400106955436</v>
      </c>
      <c r="D320" s="50">
        <f t="shared" si="62"/>
        <v>2265.4700053477718</v>
      </c>
      <c r="E320" s="50">
        <f t="shared" si="63"/>
        <v>4530.9400106955436</v>
      </c>
      <c r="F320" s="50">
        <f t="shared" si="64"/>
        <v>2718.5640064173263</v>
      </c>
      <c r="G320" s="50">
        <f t="shared" si="66"/>
        <v>4077.8460096259892</v>
      </c>
    </row>
    <row r="323" spans="2:3" x14ac:dyDescent="0.35">
      <c r="B323" s="86" t="s">
        <v>83</v>
      </c>
      <c r="C323" s="86"/>
    </row>
    <row r="324" spans="2:3" x14ac:dyDescent="0.35">
      <c r="B324" s="86"/>
      <c r="C324" s="86"/>
    </row>
    <row r="326" spans="2:3" x14ac:dyDescent="0.35">
      <c r="B326" s="17" t="s">
        <v>84</v>
      </c>
      <c r="C326" s="17" t="s">
        <v>7</v>
      </c>
    </row>
    <row r="327" spans="2:3" x14ac:dyDescent="0.35">
      <c r="B327" s="17" t="s">
        <v>85</v>
      </c>
      <c r="C327" s="54">
        <v>0.03</v>
      </c>
    </row>
    <row r="329" spans="2:3" x14ac:dyDescent="0.35">
      <c r="B329" s="48" t="s">
        <v>12</v>
      </c>
      <c r="C329" s="48" t="s">
        <v>86</v>
      </c>
    </row>
    <row r="330" spans="2:3" x14ac:dyDescent="0.35">
      <c r="B330" s="17">
        <v>2022</v>
      </c>
      <c r="C330" s="50">
        <v>30</v>
      </c>
    </row>
    <row r="331" spans="2:3" x14ac:dyDescent="0.35">
      <c r="B331" s="17">
        <v>2023</v>
      </c>
      <c r="C331" s="50">
        <f>C330*(1+$C$327)</f>
        <v>30.900000000000002</v>
      </c>
    </row>
    <row r="332" spans="2:3" x14ac:dyDescent="0.35">
      <c r="B332" s="17">
        <v>2024</v>
      </c>
      <c r="C332" s="50">
        <f t="shared" ref="C332:C355" si="67">C331*(1+$C$327)</f>
        <v>31.827000000000002</v>
      </c>
    </row>
    <row r="333" spans="2:3" x14ac:dyDescent="0.35">
      <c r="B333" s="17">
        <v>2025</v>
      </c>
      <c r="C333" s="50">
        <f t="shared" si="67"/>
        <v>32.78181</v>
      </c>
    </row>
    <row r="334" spans="2:3" x14ac:dyDescent="0.35">
      <c r="B334" s="17">
        <v>2026</v>
      </c>
      <c r="C334" s="50">
        <f t="shared" si="67"/>
        <v>33.765264299999998</v>
      </c>
    </row>
    <row r="335" spans="2:3" x14ac:dyDescent="0.35">
      <c r="B335" s="17">
        <v>2027</v>
      </c>
      <c r="C335" s="50">
        <f t="shared" si="67"/>
        <v>34.778222229000001</v>
      </c>
    </row>
    <row r="336" spans="2:3" x14ac:dyDescent="0.35">
      <c r="B336" s="17">
        <v>2028</v>
      </c>
      <c r="C336" s="50">
        <f t="shared" si="67"/>
        <v>35.821568895870001</v>
      </c>
    </row>
    <row r="337" spans="2:3" x14ac:dyDescent="0.35">
      <c r="B337" s="17">
        <v>2029</v>
      </c>
      <c r="C337" s="50">
        <f t="shared" si="67"/>
        <v>36.896215962746105</v>
      </c>
    </row>
    <row r="338" spans="2:3" x14ac:dyDescent="0.35">
      <c r="B338" s="17">
        <v>2030</v>
      </c>
      <c r="C338" s="50">
        <f t="shared" si="67"/>
        <v>38.003102441628492</v>
      </c>
    </row>
    <row r="339" spans="2:3" x14ac:dyDescent="0.35">
      <c r="B339" s="17">
        <v>2031</v>
      </c>
      <c r="C339" s="50">
        <f t="shared" si="67"/>
        <v>39.143195514877348</v>
      </c>
    </row>
    <row r="340" spans="2:3" x14ac:dyDescent="0.35">
      <c r="B340" s="17">
        <v>2032</v>
      </c>
      <c r="C340" s="50">
        <f t="shared" si="67"/>
        <v>40.317491380323666</v>
      </c>
    </row>
    <row r="341" spans="2:3" x14ac:dyDescent="0.35">
      <c r="B341" s="17">
        <v>2033</v>
      </c>
      <c r="C341" s="50">
        <f t="shared" si="67"/>
        <v>41.527016121733375</v>
      </c>
    </row>
    <row r="342" spans="2:3" x14ac:dyDescent="0.35">
      <c r="B342" s="17">
        <v>2034</v>
      </c>
      <c r="C342" s="50">
        <f t="shared" si="67"/>
        <v>42.772826605385376</v>
      </c>
    </row>
    <row r="343" spans="2:3" x14ac:dyDescent="0.35">
      <c r="B343" s="17">
        <v>2035</v>
      </c>
      <c r="C343" s="50">
        <f t="shared" si="67"/>
        <v>44.05601140354694</v>
      </c>
    </row>
    <row r="344" spans="2:3" x14ac:dyDescent="0.35">
      <c r="B344" s="17">
        <v>2036</v>
      </c>
      <c r="C344" s="50">
        <f t="shared" si="67"/>
        <v>45.377691745653351</v>
      </c>
    </row>
    <row r="345" spans="2:3" x14ac:dyDescent="0.35">
      <c r="B345" s="17">
        <v>2037</v>
      </c>
      <c r="C345" s="50">
        <f t="shared" si="67"/>
        <v>46.739022498022955</v>
      </c>
    </row>
    <row r="346" spans="2:3" x14ac:dyDescent="0.35">
      <c r="B346" s="17">
        <v>2038</v>
      </c>
      <c r="C346" s="50">
        <f t="shared" si="67"/>
        <v>48.141193172963646</v>
      </c>
    </row>
    <row r="347" spans="2:3" x14ac:dyDescent="0.35">
      <c r="B347" s="17">
        <v>2039</v>
      </c>
      <c r="C347" s="50">
        <f t="shared" si="67"/>
        <v>49.585428968152556</v>
      </c>
    </row>
    <row r="348" spans="2:3" x14ac:dyDescent="0.35">
      <c r="B348" s="17">
        <v>2040</v>
      </c>
      <c r="C348" s="50">
        <f t="shared" si="67"/>
        <v>51.072991837197137</v>
      </c>
    </row>
    <row r="349" spans="2:3" x14ac:dyDescent="0.35">
      <c r="B349" s="17">
        <v>2041</v>
      </c>
      <c r="C349" s="50">
        <f t="shared" si="67"/>
        <v>52.605181592313052</v>
      </c>
    </row>
    <row r="350" spans="2:3" x14ac:dyDescent="0.35">
      <c r="B350" s="17">
        <v>2042</v>
      </c>
      <c r="C350" s="50">
        <f t="shared" si="67"/>
        <v>54.183337040082442</v>
      </c>
    </row>
    <row r="351" spans="2:3" x14ac:dyDescent="0.35">
      <c r="B351" s="17">
        <v>2043</v>
      </c>
      <c r="C351" s="50">
        <f t="shared" si="67"/>
        <v>55.808837151284919</v>
      </c>
    </row>
    <row r="352" spans="2:3" x14ac:dyDescent="0.35">
      <c r="B352" s="17">
        <v>2044</v>
      </c>
      <c r="C352" s="50">
        <f t="shared" si="67"/>
        <v>57.483102265823469</v>
      </c>
    </row>
    <row r="353" spans="2:6" x14ac:dyDescent="0.35">
      <c r="B353" s="17">
        <v>2045</v>
      </c>
      <c r="C353" s="50">
        <f t="shared" si="67"/>
        <v>59.207595333798174</v>
      </c>
    </row>
    <row r="354" spans="2:6" x14ac:dyDescent="0.35">
      <c r="B354" s="17">
        <v>2046</v>
      </c>
      <c r="C354" s="50">
        <f t="shared" si="67"/>
        <v>60.983823193812121</v>
      </c>
    </row>
    <row r="355" spans="2:6" x14ac:dyDescent="0.35">
      <c r="B355" s="17">
        <v>2047</v>
      </c>
      <c r="C355" s="50">
        <f t="shared" si="67"/>
        <v>62.813337889626489</v>
      </c>
    </row>
    <row r="357" spans="2:6" x14ac:dyDescent="0.35">
      <c r="B357" s="87" t="s">
        <v>109</v>
      </c>
      <c r="C357" s="114"/>
      <c r="F357" s="78"/>
    </row>
    <row r="358" spans="2:6" x14ac:dyDescent="0.35">
      <c r="B358" s="87"/>
      <c r="C358" s="114"/>
      <c r="F358" s="78">
        <v>600</v>
      </c>
    </row>
    <row r="359" spans="2:6" x14ac:dyDescent="0.35">
      <c r="F359" s="78">
        <f>F358*(1+1.5%)</f>
        <v>608.99999999999989</v>
      </c>
    </row>
    <row r="360" spans="2:6" x14ac:dyDescent="0.35">
      <c r="B360" s="48" t="s">
        <v>12</v>
      </c>
      <c r="C360" s="76" t="s">
        <v>87</v>
      </c>
      <c r="F360" s="78">
        <f t="shared" ref="F360:F383" si="68">F359*(1+1.5%)</f>
        <v>618.13499999999988</v>
      </c>
    </row>
    <row r="361" spans="2:6" x14ac:dyDescent="0.35">
      <c r="B361" s="17">
        <v>2022</v>
      </c>
      <c r="C361" s="77">
        <f>C129+C143+I223+C260+G295-C330</f>
        <v>2492</v>
      </c>
      <c r="F361" s="78">
        <f t="shared" si="68"/>
        <v>627.40702499999986</v>
      </c>
    </row>
    <row r="362" spans="2:6" x14ac:dyDescent="0.35">
      <c r="B362" s="17">
        <v>2023</v>
      </c>
      <c r="C362" s="77">
        <f>C144+I224+C261+G296-C331</f>
        <v>1557.7067</v>
      </c>
      <c r="F362" s="78">
        <f t="shared" si="68"/>
        <v>636.81813037499978</v>
      </c>
    </row>
    <row r="363" spans="2:6" x14ac:dyDescent="0.35">
      <c r="B363" s="17">
        <v>2024</v>
      </c>
      <c r="C363" s="77">
        <f t="shared" ref="C363:C371" si="69">C145+I225+C262+G297-C332</f>
        <v>1656.0381368199999</v>
      </c>
      <c r="F363" s="78">
        <f t="shared" si="68"/>
        <v>646.37040233062476</v>
      </c>
    </row>
    <row r="364" spans="2:6" x14ac:dyDescent="0.35">
      <c r="B364" s="17">
        <v>2025</v>
      </c>
      <c r="C364" s="77">
        <f t="shared" si="69"/>
        <v>1761.3484739475139</v>
      </c>
      <c r="F364" s="78">
        <f t="shared" si="68"/>
        <v>656.06595836558404</v>
      </c>
    </row>
    <row r="365" spans="2:6" x14ac:dyDescent="0.35">
      <c r="B365" s="17">
        <v>2026</v>
      </c>
      <c r="C365" s="77">
        <f>C147+I227+C264+G299-C334+F362</f>
        <v>2511.0244228361198</v>
      </c>
      <c r="F365" s="78">
        <f t="shared" si="68"/>
        <v>665.90694774106771</v>
      </c>
    </row>
    <row r="366" spans="2:6" x14ac:dyDescent="0.35">
      <c r="B366" s="17">
        <v>2027</v>
      </c>
      <c r="C366" s="77">
        <f t="shared" si="69"/>
        <v>1995.2327403906825</v>
      </c>
      <c r="F366" s="78">
        <f t="shared" si="68"/>
        <v>675.89555195718367</v>
      </c>
    </row>
    <row r="367" spans="2:6" x14ac:dyDescent="0.35">
      <c r="B367" s="17">
        <v>2028</v>
      </c>
      <c r="C367" s="77">
        <f t="shared" si="69"/>
        <v>2125.1068645400328</v>
      </c>
      <c r="F367" s="78">
        <f t="shared" si="68"/>
        <v>686.03398523654141</v>
      </c>
    </row>
    <row r="368" spans="2:6" x14ac:dyDescent="0.35">
      <c r="B368" s="17">
        <v>2029</v>
      </c>
      <c r="C368" s="77">
        <f t="shared" si="69"/>
        <v>2264.571515277989</v>
      </c>
      <c r="F368" s="78">
        <f t="shared" si="68"/>
        <v>696.3244950150895</v>
      </c>
    </row>
    <row r="369" spans="2:6" x14ac:dyDescent="0.35">
      <c r="B369" s="17">
        <v>2030</v>
      </c>
      <c r="C369" s="77">
        <f t="shared" si="69"/>
        <v>2414.4398879286218</v>
      </c>
      <c r="F369" s="78">
        <f t="shared" si="68"/>
        <v>706.76936244031572</v>
      </c>
    </row>
    <row r="370" spans="2:6" x14ac:dyDescent="0.35">
      <c r="B370" s="17">
        <v>2031</v>
      </c>
      <c r="C370" s="77">
        <f t="shared" si="69"/>
        <v>2575.6027715873274</v>
      </c>
      <c r="F370" s="78">
        <f t="shared" si="68"/>
        <v>717.37090287692035</v>
      </c>
    </row>
    <row r="371" spans="2:6" x14ac:dyDescent="0.35">
      <c r="B371" s="17">
        <v>2032</v>
      </c>
      <c r="C371" s="77">
        <f t="shared" si="69"/>
        <v>2749.0365842068031</v>
      </c>
      <c r="F371" s="78">
        <f t="shared" si="68"/>
        <v>728.13146642007405</v>
      </c>
    </row>
    <row r="372" spans="2:6" x14ac:dyDescent="0.35">
      <c r="B372" s="17">
        <v>2033</v>
      </c>
      <c r="C372" s="77">
        <f>C154+I234+C271+G306-C341+F369</f>
        <v>3642.581644171265</v>
      </c>
      <c r="F372" s="78">
        <f t="shared" si="68"/>
        <v>739.05343841637512</v>
      </c>
    </row>
    <row r="373" spans="2:6" x14ac:dyDescent="0.35">
      <c r="B373" s="17">
        <v>2034</v>
      </c>
      <c r="C373" s="77">
        <f t="shared" ref="C373:C386" si="70">C155+I235+C272+G307-C342</f>
        <v>3137.105239010295</v>
      </c>
      <c r="F373" s="78">
        <f t="shared" si="68"/>
        <v>750.13923999262067</v>
      </c>
    </row>
    <row r="374" spans="2:6" x14ac:dyDescent="0.35">
      <c r="B374" s="17">
        <v>2035</v>
      </c>
      <c r="C374" s="77">
        <f t="shared" si="70"/>
        <v>3354.2062113272614</v>
      </c>
      <c r="F374" s="78">
        <f t="shared" si="68"/>
        <v>761.39132859250992</v>
      </c>
    </row>
    <row r="375" spans="2:6" x14ac:dyDescent="0.35">
      <c r="B375" s="17">
        <v>2036</v>
      </c>
      <c r="C375" s="77">
        <f t="shared" si="70"/>
        <v>3588.5334977244602</v>
      </c>
      <c r="F375" s="78">
        <f t="shared" si="68"/>
        <v>772.81219852139748</v>
      </c>
    </row>
    <row r="376" spans="2:6" x14ac:dyDescent="0.35">
      <c r="B376" s="17">
        <v>2037</v>
      </c>
      <c r="C376" s="77">
        <f>C158+I238+C275+G310-C345+F373</f>
        <v>4591.7856811029133</v>
      </c>
      <c r="F376" s="78">
        <f t="shared" si="68"/>
        <v>784.4043814992184</v>
      </c>
    </row>
    <row r="377" spans="2:6" x14ac:dyDescent="0.35">
      <c r="B377" s="17">
        <v>2038</v>
      </c>
      <c r="C377" s="77">
        <f t="shared" si="70"/>
        <v>4115.2604154765877</v>
      </c>
      <c r="F377" s="78">
        <f t="shared" si="68"/>
        <v>796.17044722170658</v>
      </c>
    </row>
    <row r="378" spans="2:6" x14ac:dyDescent="0.35">
      <c r="B378" s="17">
        <v>2039</v>
      </c>
      <c r="C378" s="77">
        <f t="shared" si="70"/>
        <v>4411.2634676843591</v>
      </c>
      <c r="F378" s="78">
        <f t="shared" si="68"/>
        <v>808.11300393003205</v>
      </c>
    </row>
    <row r="379" spans="2:6" x14ac:dyDescent="0.35">
      <c r="B379" s="17">
        <v>2040</v>
      </c>
      <c r="C379" s="77">
        <f t="shared" si="70"/>
        <v>4731.7348003591123</v>
      </c>
      <c r="F379" s="78">
        <f t="shared" si="68"/>
        <v>820.23469898898247</v>
      </c>
    </row>
    <row r="380" spans="2:6" x14ac:dyDescent="0.35">
      <c r="B380" s="17">
        <v>2041</v>
      </c>
      <c r="C380" s="77">
        <f>C162+I242+C279+G314-C349+F377</f>
        <v>5875.1357509341178</v>
      </c>
      <c r="F380" s="78">
        <f t="shared" si="68"/>
        <v>832.53821947381709</v>
      </c>
    </row>
    <row r="381" spans="2:6" x14ac:dyDescent="0.35">
      <c r="B381" s="17">
        <v>2042</v>
      </c>
      <c r="C381" s="77">
        <f>C163+I243+C280+G315-C350+F378</f>
        <v>6263.5933717541557</v>
      </c>
      <c r="F381" s="78">
        <f t="shared" si="68"/>
        <v>845.02629276592427</v>
      </c>
    </row>
    <row r="382" spans="2:6" x14ac:dyDescent="0.35">
      <c r="B382" s="17">
        <v>2043</v>
      </c>
      <c r="C382" s="77">
        <f t="shared" si="70"/>
        <v>5864.0652333612907</v>
      </c>
      <c r="F382" s="78">
        <f t="shared" si="68"/>
        <v>857.70168715741306</v>
      </c>
    </row>
    <row r="383" spans="2:6" x14ac:dyDescent="0.35">
      <c r="B383" s="17">
        <v>2044</v>
      </c>
      <c r="C383" s="77">
        <f t="shared" si="70"/>
        <v>6307.7931681889113</v>
      </c>
      <c r="F383" s="78">
        <f t="shared" si="68"/>
        <v>870.56721246477423</v>
      </c>
    </row>
    <row r="384" spans="2:6" x14ac:dyDescent="0.35">
      <c r="B384" s="17">
        <v>2045</v>
      </c>
      <c r="C384" s="77">
        <f>C166+I246+C283+G318-C353+F381</f>
        <v>7635.0830829613215</v>
      </c>
      <c r="F384" s="78"/>
    </row>
    <row r="385" spans="2:8" x14ac:dyDescent="0.35">
      <c r="B385" s="17">
        <v>2046</v>
      </c>
      <c r="C385" s="77">
        <f>C167+I247+C284+G319-C354+F382</f>
        <v>8172.3045804591857</v>
      </c>
      <c r="F385" s="78"/>
    </row>
    <row r="386" spans="2:8" x14ac:dyDescent="0.35">
      <c r="B386" s="17">
        <v>2047</v>
      </c>
      <c r="C386" s="77">
        <f t="shared" si="70"/>
        <v>7885.5711744847767</v>
      </c>
      <c r="F386" s="78"/>
    </row>
    <row r="388" spans="2:8" x14ac:dyDescent="0.35">
      <c r="B388" s="88" t="s">
        <v>93</v>
      </c>
      <c r="C388" s="89"/>
      <c r="D388" s="89"/>
      <c r="E388" s="89"/>
      <c r="F388" s="89"/>
      <c r="G388" s="89"/>
      <c r="H388" s="89"/>
    </row>
    <row r="389" spans="2:8" x14ac:dyDescent="0.35">
      <c r="B389" s="89"/>
      <c r="C389" s="89"/>
      <c r="D389" s="89"/>
      <c r="E389" s="89"/>
      <c r="F389" s="89"/>
      <c r="G389" s="89"/>
      <c r="H389" s="89"/>
    </row>
    <row r="391" spans="2:8" x14ac:dyDescent="0.35">
      <c r="B391" t="s">
        <v>98</v>
      </c>
      <c r="C391" s="30">
        <v>0.1</v>
      </c>
    </row>
    <row r="393" spans="2:8" x14ac:dyDescent="0.35">
      <c r="B393" s="47" t="s">
        <v>12</v>
      </c>
      <c r="C393" s="47" t="s">
        <v>94</v>
      </c>
      <c r="D393" s="47" t="s">
        <v>87</v>
      </c>
      <c r="E393" s="47" t="s">
        <v>95</v>
      </c>
      <c r="F393" s="47" t="s">
        <v>96</v>
      </c>
      <c r="G393" s="47" t="s">
        <v>97</v>
      </c>
    </row>
    <row r="394" spans="2:8" x14ac:dyDescent="0.35">
      <c r="B394" s="17">
        <v>2022</v>
      </c>
      <c r="C394" s="50">
        <f t="shared" ref="C394:C419" si="71">C94</f>
        <v>4800</v>
      </c>
      <c r="D394" s="50">
        <f>C361</f>
        <v>2492</v>
      </c>
      <c r="E394" s="50">
        <f>C394-D394</f>
        <v>2308</v>
      </c>
      <c r="F394" s="50">
        <f>E394*$C$391</f>
        <v>230.8</v>
      </c>
      <c r="G394" s="50">
        <f>E394-F394</f>
        <v>2077.1999999999998</v>
      </c>
    </row>
    <row r="395" spans="2:8" x14ac:dyDescent="0.35">
      <c r="B395" s="17">
        <v>2023</v>
      </c>
      <c r="C395" s="50">
        <f t="shared" si="71"/>
        <v>5320.6299999999992</v>
      </c>
      <c r="D395" s="50">
        <f t="shared" ref="D395:D419" si="72">C362</f>
        <v>1557.7067</v>
      </c>
      <c r="E395" s="50">
        <f t="shared" ref="E395:E404" si="73">C395-D395</f>
        <v>3762.9232999999995</v>
      </c>
      <c r="F395" s="50">
        <f t="shared" ref="F395:F419" si="74">E395*$C$391</f>
        <v>376.29232999999999</v>
      </c>
      <c r="G395" s="50">
        <f t="shared" ref="G395:G404" si="75">E395-F395</f>
        <v>3386.6309699999993</v>
      </c>
    </row>
    <row r="396" spans="2:8" x14ac:dyDescent="0.35">
      <c r="B396" s="17">
        <v>2024</v>
      </c>
      <c r="C396" s="50">
        <f t="shared" si="71"/>
        <v>5782.5292979999995</v>
      </c>
      <c r="D396" s="50">
        <f t="shared" si="72"/>
        <v>1656.0381368199999</v>
      </c>
      <c r="E396" s="50">
        <f t="shared" si="73"/>
        <v>4126.4911611799998</v>
      </c>
      <c r="F396" s="50">
        <f t="shared" si="74"/>
        <v>412.64911611799999</v>
      </c>
      <c r="G396" s="50">
        <f t="shared" si="75"/>
        <v>3713.8420450619997</v>
      </c>
    </row>
    <row r="397" spans="2:8" x14ac:dyDescent="0.35">
      <c r="B397" s="17">
        <v>2025</v>
      </c>
      <c r="C397" s="50">
        <f t="shared" si="71"/>
        <v>6287.787877194598</v>
      </c>
      <c r="D397" s="50">
        <f t="shared" si="72"/>
        <v>1761.3484739475139</v>
      </c>
      <c r="E397" s="50">
        <f t="shared" si="73"/>
        <v>4526.4394032470846</v>
      </c>
      <c r="F397" s="50">
        <f t="shared" si="74"/>
        <v>452.64394032470847</v>
      </c>
      <c r="G397" s="50">
        <f t="shared" si="75"/>
        <v>4073.7954629223759</v>
      </c>
    </row>
    <row r="398" spans="2:8" x14ac:dyDescent="0.35">
      <c r="B398" s="17">
        <v>2026</v>
      </c>
      <c r="C398" s="50">
        <f t="shared" si="71"/>
        <v>6840.7634779013306</v>
      </c>
      <c r="D398" s="50">
        <f t="shared" si="72"/>
        <v>2511.0244228361198</v>
      </c>
      <c r="E398" s="50">
        <f t="shared" si="73"/>
        <v>4329.7390550652108</v>
      </c>
      <c r="F398" s="50">
        <f t="shared" si="74"/>
        <v>432.97390550652108</v>
      </c>
      <c r="G398" s="50">
        <f t="shared" si="75"/>
        <v>3896.7651495586897</v>
      </c>
    </row>
    <row r="399" spans="2:8" x14ac:dyDescent="0.35">
      <c r="B399" s="17">
        <v>2027</v>
      </c>
      <c r="C399" s="50">
        <f t="shared" si="71"/>
        <v>7446.2752964686897</v>
      </c>
      <c r="D399" s="50">
        <f t="shared" si="72"/>
        <v>1995.2327403906825</v>
      </c>
      <c r="E399" s="50">
        <f t="shared" si="73"/>
        <v>5451.0425560780077</v>
      </c>
      <c r="F399" s="50">
        <f t="shared" si="74"/>
        <v>545.10425560780084</v>
      </c>
      <c r="G399" s="50">
        <f t="shared" si="75"/>
        <v>4905.9383004702067</v>
      </c>
    </row>
    <row r="400" spans="2:8" x14ac:dyDescent="0.35">
      <c r="B400" s="17">
        <v>2028</v>
      </c>
      <c r="C400" s="50">
        <f t="shared" si="71"/>
        <v>8109.6546466836389</v>
      </c>
      <c r="D400" s="50">
        <f t="shared" si="72"/>
        <v>2125.1068645400328</v>
      </c>
      <c r="E400" s="50">
        <f t="shared" si="73"/>
        <v>5984.5477821436061</v>
      </c>
      <c r="F400" s="50">
        <f t="shared" si="74"/>
        <v>598.45477821436066</v>
      </c>
      <c r="G400" s="50">
        <f t="shared" si="75"/>
        <v>5386.0930039292452</v>
      </c>
    </row>
    <row r="401" spans="2:7" x14ac:dyDescent="0.35">
      <c r="B401" s="17">
        <v>2029</v>
      </c>
      <c r="C401" s="50">
        <f t="shared" si="71"/>
        <v>8836.8013138293445</v>
      </c>
      <c r="D401" s="50">
        <f t="shared" si="72"/>
        <v>2264.571515277989</v>
      </c>
      <c r="E401" s="50">
        <f t="shared" si="73"/>
        <v>6572.229798551356</v>
      </c>
      <c r="F401" s="50">
        <f t="shared" si="74"/>
        <v>657.22297985513569</v>
      </c>
      <c r="G401" s="50">
        <f t="shared" si="75"/>
        <v>5915.0068186962199</v>
      </c>
    </row>
    <row r="402" spans="2:7" x14ac:dyDescent="0.35">
      <c r="B402" s="17">
        <v>2030</v>
      </c>
      <c r="C402" s="50">
        <f t="shared" si="71"/>
        <v>9634.2462502705694</v>
      </c>
      <c r="D402" s="50">
        <f t="shared" si="72"/>
        <v>2414.4398879286218</v>
      </c>
      <c r="E402" s="50">
        <f t="shared" si="73"/>
        <v>7219.8063623419475</v>
      </c>
      <c r="F402" s="50">
        <f t="shared" si="74"/>
        <v>721.98063623419478</v>
      </c>
      <c r="G402" s="50">
        <f t="shared" si="75"/>
        <v>6497.8257261077524</v>
      </c>
    </row>
    <row r="403" spans="2:7" x14ac:dyDescent="0.35">
      <c r="B403" s="17">
        <v>2031</v>
      </c>
      <c r="C403" s="50">
        <f t="shared" si="71"/>
        <v>10509.221336044562</v>
      </c>
      <c r="D403" s="50">
        <f t="shared" si="72"/>
        <v>2575.6027715873274</v>
      </c>
      <c r="E403" s="50">
        <f t="shared" si="73"/>
        <v>7933.6185644572342</v>
      </c>
      <c r="F403" s="50">
        <f t="shared" si="74"/>
        <v>793.36185644572345</v>
      </c>
      <c r="G403" s="50">
        <f t="shared" si="75"/>
        <v>7140.2567080115105</v>
      </c>
    </row>
    <row r="404" spans="2:7" x14ac:dyDescent="0.35">
      <c r="B404" s="17">
        <v>2032</v>
      </c>
      <c r="C404" s="50">
        <f t="shared" si="71"/>
        <v>11469.73701115581</v>
      </c>
      <c r="D404" s="50">
        <f t="shared" si="72"/>
        <v>2749.0365842068031</v>
      </c>
      <c r="E404" s="50">
        <f t="shared" si="73"/>
        <v>8720.7004269490062</v>
      </c>
      <c r="F404" s="50">
        <f t="shared" si="74"/>
        <v>872.07004269490062</v>
      </c>
      <c r="G404" s="50">
        <f t="shared" si="75"/>
        <v>7848.6303842541056</v>
      </c>
    </row>
    <row r="405" spans="2:7" x14ac:dyDescent="0.35">
      <c r="B405" s="17">
        <v>2033</v>
      </c>
      <c r="C405" s="50">
        <f t="shared" si="71"/>
        <v>12524.668679113596</v>
      </c>
      <c r="D405" s="50">
        <f t="shared" si="72"/>
        <v>3642.581644171265</v>
      </c>
      <c r="E405" s="50">
        <f t="shared" ref="E405:E419" si="76">C405-D405</f>
        <v>8882.0870349423312</v>
      </c>
      <c r="F405" s="50">
        <f t="shared" si="74"/>
        <v>888.20870349423319</v>
      </c>
      <c r="G405" s="50">
        <f t="shared" ref="G405:G419" si="77">E405-F405</f>
        <v>7993.8783314480979</v>
      </c>
    </row>
    <row r="406" spans="2:7" x14ac:dyDescent="0.35">
      <c r="B406" s="17">
        <v>2034</v>
      </c>
      <c r="C406" s="50">
        <f t="shared" si="71"/>
        <v>13683.852884826421</v>
      </c>
      <c r="D406" s="50">
        <f t="shared" si="72"/>
        <v>3137.105239010295</v>
      </c>
      <c r="E406" s="50">
        <f t="shared" si="76"/>
        <v>10546.747645816125</v>
      </c>
      <c r="F406" s="50">
        <f t="shared" si="74"/>
        <v>1054.6747645816126</v>
      </c>
      <c r="G406" s="50">
        <f t="shared" si="77"/>
        <v>9492.0728812345133</v>
      </c>
    </row>
    <row r="407" spans="2:7" x14ac:dyDescent="0.35">
      <c r="B407" s="17">
        <v>2035</v>
      </c>
      <c r="C407" s="50">
        <f t="shared" si="71"/>
        <v>14958.194385522216</v>
      </c>
      <c r="D407" s="50">
        <f t="shared" si="72"/>
        <v>3354.2062113272614</v>
      </c>
      <c r="E407" s="50">
        <f t="shared" si="76"/>
        <v>11603.988174194954</v>
      </c>
      <c r="F407" s="50">
        <f t="shared" si="74"/>
        <v>1160.3988174194953</v>
      </c>
      <c r="G407" s="50">
        <f t="shared" si="77"/>
        <v>10443.589356775459</v>
      </c>
    </row>
    <row r="408" spans="2:7" x14ac:dyDescent="0.35">
      <c r="B408" s="17">
        <v>2036</v>
      </c>
      <c r="C408" s="50">
        <f t="shared" si="71"/>
        <v>16359.785362286968</v>
      </c>
      <c r="D408" s="50">
        <f t="shared" si="72"/>
        <v>3588.5334977244602</v>
      </c>
      <c r="E408" s="50">
        <f t="shared" si="76"/>
        <v>12771.251864562508</v>
      </c>
      <c r="F408" s="50">
        <f t="shared" si="74"/>
        <v>1277.125186456251</v>
      </c>
      <c r="G408" s="50">
        <f t="shared" si="77"/>
        <v>11494.126678106257</v>
      </c>
    </row>
    <row r="409" spans="2:7" x14ac:dyDescent="0.35">
      <c r="B409" s="17">
        <v>2037</v>
      </c>
      <c r="C409" s="50">
        <f t="shared" si="71"/>
        <v>17902.038163657224</v>
      </c>
      <c r="D409" s="50">
        <f t="shared" si="72"/>
        <v>4591.7856811029133</v>
      </c>
      <c r="E409" s="50">
        <f t="shared" si="76"/>
        <v>13310.252482554311</v>
      </c>
      <c r="F409" s="50">
        <f t="shared" si="74"/>
        <v>1331.0252482554313</v>
      </c>
      <c r="G409" s="50">
        <f t="shared" si="77"/>
        <v>11979.22723429888</v>
      </c>
    </row>
    <row r="410" spans="2:7" x14ac:dyDescent="0.35">
      <c r="B410" s="17">
        <v>2038</v>
      </c>
      <c r="C410" s="50">
        <f t="shared" si="71"/>
        <v>19599.833133195516</v>
      </c>
      <c r="D410" s="50">
        <f t="shared" si="72"/>
        <v>4115.2604154765877</v>
      </c>
      <c r="E410" s="50">
        <f t="shared" si="76"/>
        <v>15484.572717718929</v>
      </c>
      <c r="F410" s="50">
        <f t="shared" si="74"/>
        <v>1548.4572717718929</v>
      </c>
      <c r="G410" s="50">
        <f t="shared" si="77"/>
        <v>13936.115445947036</v>
      </c>
    </row>
    <row r="411" spans="2:7" x14ac:dyDescent="0.35">
      <c r="B411" s="17">
        <v>2039</v>
      </c>
      <c r="C411" s="50">
        <f t="shared" si="71"/>
        <v>21469.68325205272</v>
      </c>
      <c r="D411" s="50">
        <f t="shared" si="72"/>
        <v>4411.2634676843591</v>
      </c>
      <c r="E411" s="50">
        <f t="shared" si="76"/>
        <v>17058.419784368361</v>
      </c>
      <c r="F411" s="50">
        <f t="shared" si="74"/>
        <v>1705.8419784368361</v>
      </c>
      <c r="G411" s="50">
        <f t="shared" si="77"/>
        <v>15352.577805931525</v>
      </c>
    </row>
    <row r="412" spans="2:7" x14ac:dyDescent="0.35">
      <c r="B412" s="17">
        <v>2040</v>
      </c>
      <c r="C412" s="50">
        <f t="shared" si="71"/>
        <v>23529.91752733519</v>
      </c>
      <c r="D412" s="50">
        <f t="shared" si="72"/>
        <v>4731.7348003591123</v>
      </c>
      <c r="E412" s="50">
        <f t="shared" si="76"/>
        <v>18798.182726976076</v>
      </c>
      <c r="F412" s="50">
        <f t="shared" si="74"/>
        <v>1879.8182726976077</v>
      </c>
      <c r="G412" s="50">
        <f t="shared" si="77"/>
        <v>16918.364454278468</v>
      </c>
    </row>
    <row r="413" spans="2:7" x14ac:dyDescent="0.35">
      <c r="B413" s="17">
        <v>2041</v>
      </c>
      <c r="C413" s="50">
        <f t="shared" si="71"/>
        <v>25800.885280053215</v>
      </c>
      <c r="D413" s="50">
        <f t="shared" si="72"/>
        <v>5875.1357509341178</v>
      </c>
      <c r="E413" s="50">
        <f t="shared" si="76"/>
        <v>19925.749529119097</v>
      </c>
      <c r="F413" s="50">
        <f t="shared" si="74"/>
        <v>1992.5749529119098</v>
      </c>
      <c r="G413" s="50">
        <f t="shared" si="77"/>
        <v>17933.174576207188</v>
      </c>
    </row>
    <row r="414" spans="2:7" x14ac:dyDescent="0.35">
      <c r="B414" s="17">
        <v>2042</v>
      </c>
      <c r="C414" s="50">
        <f t="shared" si="71"/>
        <v>28305.183735217684</v>
      </c>
      <c r="D414" s="50">
        <f t="shared" si="72"/>
        <v>6263.5933717541557</v>
      </c>
      <c r="E414" s="50">
        <f t="shared" si="76"/>
        <v>22041.590363463529</v>
      </c>
      <c r="F414" s="50">
        <f t="shared" si="74"/>
        <v>2204.1590363463529</v>
      </c>
      <c r="G414" s="50">
        <f t="shared" si="77"/>
        <v>19837.431327117178</v>
      </c>
    </row>
    <row r="415" spans="2:7" x14ac:dyDescent="0.35">
      <c r="B415" s="17">
        <v>2043</v>
      </c>
      <c r="C415" s="50">
        <f t="shared" si="71"/>
        <v>31067.911594273119</v>
      </c>
      <c r="D415" s="50">
        <f t="shared" si="72"/>
        <v>5864.0652333612907</v>
      </c>
      <c r="E415" s="50">
        <f t="shared" si="76"/>
        <v>25203.846360911826</v>
      </c>
      <c r="F415" s="50">
        <f t="shared" si="74"/>
        <v>2520.384636091183</v>
      </c>
      <c r="G415" s="50">
        <f t="shared" si="77"/>
        <v>22683.461724820641</v>
      </c>
    </row>
    <row r="416" spans="2:7" x14ac:dyDescent="0.35">
      <c r="B416" s="17">
        <v>2044</v>
      </c>
      <c r="C416" s="50">
        <f t="shared" si="71"/>
        <v>34116.951579853594</v>
      </c>
      <c r="D416" s="50">
        <f t="shared" si="72"/>
        <v>6307.7931681889113</v>
      </c>
      <c r="E416" s="50">
        <f t="shared" si="76"/>
        <v>27809.158411664685</v>
      </c>
      <c r="F416" s="50">
        <f t="shared" si="74"/>
        <v>2780.9158411664685</v>
      </c>
      <c r="G416" s="50">
        <f t="shared" si="77"/>
        <v>25028.242570498216</v>
      </c>
    </row>
    <row r="417" spans="2:14" x14ac:dyDescent="0.35">
      <c r="B417" s="17">
        <v>2045</v>
      </c>
      <c r="C417" s="50">
        <f t="shared" si="71"/>
        <v>37483.285288561325</v>
      </c>
      <c r="D417" s="50">
        <f t="shared" si="72"/>
        <v>7635.0830829613215</v>
      </c>
      <c r="E417" s="50">
        <f t="shared" si="76"/>
        <v>29848.202205600002</v>
      </c>
      <c r="F417" s="50">
        <f t="shared" si="74"/>
        <v>2984.8202205600005</v>
      </c>
      <c r="G417" s="50">
        <f t="shared" si="77"/>
        <v>26863.381985040003</v>
      </c>
    </row>
    <row r="418" spans="2:14" x14ac:dyDescent="0.35">
      <c r="B418" s="17">
        <v>2046</v>
      </c>
      <c r="C418" s="50">
        <f t="shared" si="71"/>
        <v>41201.344073265223</v>
      </c>
      <c r="D418" s="50">
        <f t="shared" si="72"/>
        <v>8172.3045804591857</v>
      </c>
      <c r="E418" s="50">
        <f t="shared" si="76"/>
        <v>33029.039492806041</v>
      </c>
      <c r="F418" s="50">
        <f t="shared" si="74"/>
        <v>3302.9039492806041</v>
      </c>
      <c r="G418" s="50">
        <f t="shared" si="77"/>
        <v>29726.135543525437</v>
      </c>
    </row>
    <row r="419" spans="2:14" x14ac:dyDescent="0.35">
      <c r="B419" s="17">
        <v>2047</v>
      </c>
      <c r="C419" s="50">
        <f t="shared" si="71"/>
        <v>45309.400106955436</v>
      </c>
      <c r="D419" s="50">
        <f t="shared" si="72"/>
        <v>7885.5711744847767</v>
      </c>
      <c r="E419" s="50">
        <f t="shared" si="76"/>
        <v>37423.828932470657</v>
      </c>
      <c r="F419" s="50">
        <f t="shared" si="74"/>
        <v>3742.382893247066</v>
      </c>
      <c r="G419" s="50">
        <f t="shared" si="77"/>
        <v>33681.446039223592</v>
      </c>
    </row>
    <row r="422" spans="2:14" x14ac:dyDescent="0.35">
      <c r="B422" s="101" t="s">
        <v>99</v>
      </c>
      <c r="C422" s="101"/>
      <c r="D422" s="101"/>
      <c r="E422" s="101"/>
      <c r="F422" s="101"/>
      <c r="G422" s="101"/>
      <c r="H422" s="101"/>
      <c r="I422" s="101"/>
      <c r="J422" s="101"/>
      <c r="K422" s="101"/>
      <c r="L422" s="101"/>
      <c r="M422" s="101"/>
      <c r="N422" s="101"/>
    </row>
    <row r="423" spans="2:14" x14ac:dyDescent="0.35">
      <c r="B423" s="101"/>
      <c r="C423" s="101"/>
      <c r="D423" s="101"/>
      <c r="E423" s="101"/>
      <c r="F423" s="101"/>
      <c r="G423" s="101"/>
      <c r="H423" s="101"/>
      <c r="I423" s="101"/>
      <c r="J423" s="101"/>
      <c r="K423" s="101"/>
      <c r="L423" s="101"/>
      <c r="M423" s="101"/>
      <c r="N423" s="101"/>
    </row>
    <row r="425" spans="2:14" x14ac:dyDescent="0.35">
      <c r="B425" s="112" t="s">
        <v>100</v>
      </c>
      <c r="C425" s="112"/>
      <c r="D425" s="112"/>
      <c r="E425" s="112"/>
      <c r="F425" s="112"/>
      <c r="G425" s="112"/>
      <c r="H425" s="112"/>
      <c r="I425" s="112"/>
      <c r="J425" s="112"/>
    </row>
    <row r="427" spans="2:14" x14ac:dyDescent="0.35">
      <c r="E427" t="s">
        <v>103</v>
      </c>
    </row>
    <row r="429" spans="2:14" x14ac:dyDescent="0.35">
      <c r="B429" s="91" t="s">
        <v>101</v>
      </c>
      <c r="C429" s="91"/>
      <c r="D429" s="91"/>
      <c r="E429" s="17">
        <v>200</v>
      </c>
      <c r="F429" s="79"/>
      <c r="G429" s="79"/>
    </row>
    <row r="430" spans="2:14" x14ac:dyDescent="0.35">
      <c r="B430" s="91" t="s">
        <v>102</v>
      </c>
      <c r="C430" s="91"/>
      <c r="D430" s="91"/>
      <c r="E430" s="50">
        <f>C197+C201+C205+C206+C209+C210+C210</f>
        <v>5621.6217206654255</v>
      </c>
      <c r="F430" s="79"/>
      <c r="G430" s="79"/>
    </row>
    <row r="431" spans="2:14" x14ac:dyDescent="0.35">
      <c r="B431" s="91" t="s">
        <v>104</v>
      </c>
      <c r="C431" s="91"/>
      <c r="D431" s="91"/>
      <c r="E431" s="54">
        <v>0.11</v>
      </c>
      <c r="F431" s="79"/>
      <c r="G431" s="79"/>
    </row>
    <row r="432" spans="2:14" x14ac:dyDescent="0.35">
      <c r="B432" s="61"/>
      <c r="C432" s="61"/>
      <c r="D432" s="61"/>
      <c r="E432" s="61"/>
      <c r="F432" s="61"/>
      <c r="G432" s="61"/>
      <c r="H432" s="40"/>
    </row>
    <row r="433" spans="2:15" x14ac:dyDescent="0.35">
      <c r="B433" s="113" t="s">
        <v>107</v>
      </c>
      <c r="C433" s="113"/>
      <c r="D433" s="113"/>
      <c r="E433" s="39">
        <f>E429+E430</f>
        <v>5821.6217206654255</v>
      </c>
      <c r="F433" s="79"/>
      <c r="G433" s="79"/>
    </row>
    <row r="434" spans="2:15" x14ac:dyDescent="0.35">
      <c r="B434" s="62"/>
      <c r="C434" s="62"/>
      <c r="D434" s="62"/>
      <c r="E434" s="62"/>
      <c r="F434" s="62"/>
      <c r="G434" s="62"/>
      <c r="H434" s="39"/>
    </row>
    <row r="435" spans="2:15" ht="18.5" x14ac:dyDescent="0.45">
      <c r="B435" s="64" t="s">
        <v>110</v>
      </c>
      <c r="C435" s="59"/>
      <c r="D435" s="59"/>
      <c r="E435" s="59"/>
      <c r="F435" s="59"/>
      <c r="G435" s="66"/>
      <c r="H435" s="64" t="s">
        <v>126</v>
      </c>
    </row>
    <row r="436" spans="2:15" x14ac:dyDescent="0.35">
      <c r="B436" s="111" t="s">
        <v>111</v>
      </c>
      <c r="C436" s="111"/>
      <c r="D436" s="111"/>
      <c r="E436" s="111"/>
      <c r="F436" s="63">
        <v>-150</v>
      </c>
      <c r="G436" s="66"/>
      <c r="H436" s="110" t="s">
        <v>127</v>
      </c>
      <c r="I436" s="110"/>
      <c r="J436" s="110"/>
      <c r="K436" s="50">
        <v>7740.3446420118144</v>
      </c>
    </row>
    <row r="437" spans="2:15" x14ac:dyDescent="0.35">
      <c r="B437" s="111" t="s">
        <v>112</v>
      </c>
      <c r="C437" s="111"/>
      <c r="D437" s="111"/>
      <c r="E437" s="111"/>
      <c r="F437" s="63">
        <v>-1000</v>
      </c>
      <c r="G437" s="66"/>
      <c r="H437" s="65" t="s">
        <v>128</v>
      </c>
    </row>
    <row r="438" spans="2:15" x14ac:dyDescent="0.35">
      <c r="B438" s="59" t="s">
        <v>113</v>
      </c>
      <c r="C438" s="59"/>
      <c r="D438" s="59"/>
      <c r="E438" s="59"/>
      <c r="F438" s="63">
        <v>-500</v>
      </c>
      <c r="G438" s="66"/>
      <c r="H438" s="110" t="s">
        <v>129</v>
      </c>
      <c r="I438" s="110"/>
      <c r="J438" s="110"/>
      <c r="K438">
        <f>E430</f>
        <v>5621.6217206654255</v>
      </c>
    </row>
    <row r="439" spans="2:15" x14ac:dyDescent="0.35">
      <c r="B439" s="59" t="s">
        <v>114</v>
      </c>
      <c r="C439" s="59"/>
      <c r="D439" s="59"/>
      <c r="E439" s="59"/>
      <c r="F439" s="63">
        <v>-500</v>
      </c>
      <c r="G439" s="66"/>
      <c r="H439" s="110" t="s">
        <v>130</v>
      </c>
      <c r="I439" s="110"/>
      <c r="J439" s="110"/>
      <c r="K439">
        <f>E429</f>
        <v>200</v>
      </c>
    </row>
    <row r="440" spans="2:15" x14ac:dyDescent="0.35">
      <c r="B440" s="59" t="s">
        <v>115</v>
      </c>
      <c r="C440" s="59"/>
      <c r="D440" s="59"/>
      <c r="E440" s="59"/>
      <c r="F440" s="63">
        <v>-432</v>
      </c>
      <c r="G440" s="66"/>
      <c r="H440" s="110" t="s">
        <v>53</v>
      </c>
      <c r="I440" s="110"/>
      <c r="J440" s="110"/>
      <c r="K440" s="31">
        <f>K436+K438+K439</f>
        <v>13561.96636267724</v>
      </c>
    </row>
    <row r="441" spans="2:15" x14ac:dyDescent="0.35">
      <c r="B441" s="59" t="s">
        <v>116</v>
      </c>
      <c r="C441" s="59"/>
      <c r="D441" s="59"/>
      <c r="E441" s="59"/>
      <c r="F441" s="63">
        <v>30</v>
      </c>
      <c r="G441" s="59"/>
    </row>
    <row r="442" spans="2:15" x14ac:dyDescent="0.35">
      <c r="B442" s="67" t="s">
        <v>117</v>
      </c>
      <c r="C442" s="59"/>
      <c r="D442" s="59"/>
      <c r="E442" s="59"/>
      <c r="F442" s="63">
        <f>SUM(F436:F441)</f>
        <v>-2552</v>
      </c>
    </row>
    <row r="444" spans="2:15" ht="27" x14ac:dyDescent="0.5">
      <c r="B444" s="59"/>
      <c r="C444" s="59"/>
      <c r="D444" s="105" t="s">
        <v>122</v>
      </c>
      <c r="E444" s="105"/>
      <c r="F444" s="105"/>
      <c r="G444" s="105"/>
      <c r="H444" s="105"/>
      <c r="I444" s="105"/>
      <c r="J444" s="105"/>
      <c r="K444" s="105"/>
      <c r="L444" s="105"/>
      <c r="M444" s="105"/>
    </row>
    <row r="448" spans="2:15" x14ac:dyDescent="0.35">
      <c r="B448" s="107" t="s">
        <v>104</v>
      </c>
      <c r="C448" s="107"/>
      <c r="D448" s="107"/>
      <c r="E448" s="30">
        <v>0.11</v>
      </c>
      <c r="H448" s="107"/>
      <c r="I448" s="107"/>
      <c r="J448" s="107"/>
      <c r="K448" s="30"/>
      <c r="N448" s="107"/>
      <c r="O448" s="107"/>
    </row>
    <row r="449" spans="2:15" x14ac:dyDescent="0.35">
      <c r="B449" s="107" t="s">
        <v>108</v>
      </c>
      <c r="C449" s="107"/>
      <c r="D449" s="107"/>
      <c r="E449">
        <f>1/(1+E431)</f>
        <v>0.9009009009009008</v>
      </c>
      <c r="H449" s="107"/>
      <c r="I449" s="107"/>
      <c r="J449" s="107"/>
      <c r="N449" s="107"/>
      <c r="O449" s="107"/>
    </row>
    <row r="452" spans="2:15" x14ac:dyDescent="0.35">
      <c r="B452" s="51" t="s">
        <v>11</v>
      </c>
      <c r="C452" s="51" t="s">
        <v>118</v>
      </c>
      <c r="D452" s="51" t="s">
        <v>97</v>
      </c>
      <c r="E452" s="51" t="s">
        <v>119</v>
      </c>
      <c r="F452" s="51" t="s">
        <v>120</v>
      </c>
    </row>
    <row r="453" spans="2:15" x14ac:dyDescent="0.35">
      <c r="B453" s="17">
        <v>2022</v>
      </c>
      <c r="C453" s="17">
        <v>0</v>
      </c>
      <c r="D453" s="63">
        <v>-2552</v>
      </c>
      <c r="E453" s="17">
        <f>$E$449^C453</f>
        <v>1</v>
      </c>
      <c r="F453" s="32">
        <f>D453*E453</f>
        <v>-2552</v>
      </c>
    </row>
    <row r="454" spans="2:15" x14ac:dyDescent="0.35">
      <c r="B454" s="17">
        <v>2023</v>
      </c>
      <c r="C454" s="17">
        <v>1</v>
      </c>
      <c r="D454" s="50">
        <v>3286.8209699999989</v>
      </c>
      <c r="E454" s="17">
        <f t="shared" ref="E454:E463" si="78">$E$449^C454</f>
        <v>0.9009009009009008</v>
      </c>
      <c r="F454" s="32">
        <f t="shared" ref="F454:F463" si="79">D454*E454</f>
        <v>2961.0999729729715</v>
      </c>
    </row>
    <row r="455" spans="2:15" x14ac:dyDescent="0.35">
      <c r="B455" s="17">
        <v>2024</v>
      </c>
      <c r="C455" s="17">
        <v>2</v>
      </c>
      <c r="D455" s="50">
        <v>3613.1977450619997</v>
      </c>
      <c r="E455" s="17">
        <f t="shared" si="78"/>
        <v>0.8116224332440547</v>
      </c>
      <c r="F455" s="32">
        <f t="shared" si="79"/>
        <v>2932.552345639152</v>
      </c>
    </row>
    <row r="456" spans="2:15" x14ac:dyDescent="0.35">
      <c r="B456" s="17">
        <v>2025</v>
      </c>
      <c r="C456" s="17">
        <v>3</v>
      </c>
      <c r="D456" s="50">
        <v>3972.2918339223756</v>
      </c>
      <c r="E456" s="17">
        <f t="shared" si="78"/>
        <v>0.73119138130095007</v>
      </c>
      <c r="F456" s="32">
        <f t="shared" si="79"/>
        <v>2904.5055529761862</v>
      </c>
    </row>
    <row r="457" spans="2:15" x14ac:dyDescent="0.35">
      <c r="B457" s="17">
        <v>2026</v>
      </c>
      <c r="C457" s="17">
        <v>4</v>
      </c>
      <c r="D457" s="50">
        <v>3794.3764116886896</v>
      </c>
      <c r="E457" s="17">
        <f t="shared" si="78"/>
        <v>0.65873097414500004</v>
      </c>
      <c r="F457" s="32">
        <f t="shared" si="79"/>
        <v>2499.4732699445003</v>
      </c>
    </row>
    <row r="458" spans="2:15" x14ac:dyDescent="0.35">
      <c r="B458" s="17">
        <v>2027</v>
      </c>
      <c r="C458" s="17">
        <v>5</v>
      </c>
      <c r="D458" s="50">
        <v>4802.6379004641067</v>
      </c>
      <c r="E458" s="17">
        <f t="shared" si="78"/>
        <v>0.59345132805855849</v>
      </c>
      <c r="F458" s="32">
        <f t="shared" si="79"/>
        <v>2850.1318402147913</v>
      </c>
    </row>
    <row r="459" spans="2:15" x14ac:dyDescent="0.35">
      <c r="B459" s="17">
        <v>2028</v>
      </c>
      <c r="C459" s="17">
        <v>6</v>
      </c>
      <c r="D459" s="50">
        <v>5281.8535919229626</v>
      </c>
      <c r="E459" s="17">
        <f t="shared" si="78"/>
        <v>0.53464083608879143</v>
      </c>
      <c r="F459" s="32">
        <f t="shared" si="79"/>
        <v>2823.8946204842787</v>
      </c>
    </row>
    <row r="460" spans="2:15" x14ac:dyDescent="0.35">
      <c r="B460" s="17">
        <v>2029</v>
      </c>
      <c r="C460" s="17">
        <v>7</v>
      </c>
      <c r="D460" s="50">
        <v>5809.8002243297487</v>
      </c>
      <c r="E460" s="17">
        <f t="shared" si="78"/>
        <v>0.48165841089080302</v>
      </c>
      <c r="F460" s="32">
        <f t="shared" si="79"/>
        <v>2798.3391436436978</v>
      </c>
    </row>
    <row r="461" spans="2:15" x14ac:dyDescent="0.35">
      <c r="B461" s="17">
        <v>2030</v>
      </c>
      <c r="C461" s="17">
        <v>8</v>
      </c>
      <c r="D461" s="50">
        <v>6391.6229339102874</v>
      </c>
      <c r="E461" s="17">
        <f t="shared" si="78"/>
        <v>0.43392649629802071</v>
      </c>
      <c r="F461" s="32">
        <f t="shared" si="79"/>
        <v>2773.4945453697665</v>
      </c>
    </row>
    <row r="462" spans="2:15" x14ac:dyDescent="0.35">
      <c r="B462" s="17">
        <v>2031</v>
      </c>
      <c r="C462" s="17">
        <v>9</v>
      </c>
      <c r="D462" s="50">
        <v>7033.027832048122</v>
      </c>
      <c r="E462" s="17">
        <f t="shared" si="78"/>
        <v>0.39092477143965826</v>
      </c>
      <c r="F462" s="32">
        <f t="shared" si="79"/>
        <v>2749.3847977721675</v>
      </c>
    </row>
    <row r="463" spans="2:15" x14ac:dyDescent="0.35">
      <c r="B463" s="17">
        <v>2032</v>
      </c>
      <c r="C463" s="17">
        <v>10</v>
      </c>
      <c r="D463" s="50">
        <v>8636.6646420118141</v>
      </c>
      <c r="E463" s="17">
        <f t="shared" si="78"/>
        <v>0.35218447877446685</v>
      </c>
      <c r="F463" s="32">
        <f t="shared" si="79"/>
        <v>3041.6992352967982</v>
      </c>
    </row>
    <row r="464" spans="2:15" x14ac:dyDescent="0.35">
      <c r="B464" s="17">
        <v>2033</v>
      </c>
      <c r="C464" s="17">
        <v>11</v>
      </c>
      <c r="D464" s="50">
        <v>10240.3014519755</v>
      </c>
      <c r="E464" s="17">
        <f t="shared" ref="E464:E478" si="80">$E$449^C464</f>
        <v>0.31728331421123135</v>
      </c>
      <c r="F464" s="32">
        <f t="shared" ref="F464:F478" si="81">D464*E464</f>
        <v>3249.0767832048709</v>
      </c>
    </row>
    <row r="465" spans="2:6" ht="14.5" customHeight="1" x14ac:dyDescent="0.35">
      <c r="B465" s="17">
        <v>2034</v>
      </c>
      <c r="C465" s="17">
        <v>12</v>
      </c>
      <c r="D465" s="50">
        <v>11843.9382619392</v>
      </c>
      <c r="E465" s="17">
        <f t="shared" si="80"/>
        <v>0.28584082361372193</v>
      </c>
      <c r="F465" s="32">
        <f t="shared" si="81"/>
        <v>3385.4810676227753</v>
      </c>
    </row>
    <row r="466" spans="2:6" ht="14.5" customHeight="1" x14ac:dyDescent="0.35">
      <c r="B466" s="17">
        <v>2035</v>
      </c>
      <c r="C466" s="17">
        <v>13</v>
      </c>
      <c r="D466" s="50">
        <v>13447.5750719029</v>
      </c>
      <c r="E466" s="17">
        <f t="shared" si="80"/>
        <v>0.25751425550785756</v>
      </c>
      <c r="F466" s="32">
        <f t="shared" si="81"/>
        <v>3462.9422830270996</v>
      </c>
    </row>
    <row r="467" spans="2:6" x14ac:dyDescent="0.35">
      <c r="B467" s="17">
        <v>2036</v>
      </c>
      <c r="C467" s="17">
        <v>14</v>
      </c>
      <c r="D467" s="50">
        <v>15051.2118818666</v>
      </c>
      <c r="E467" s="17">
        <f t="shared" si="80"/>
        <v>0.23199482478185365</v>
      </c>
      <c r="F467" s="32">
        <f t="shared" si="81"/>
        <v>3491.8032632881959</v>
      </c>
    </row>
    <row r="468" spans="2:6" x14ac:dyDescent="0.35">
      <c r="B468" s="17">
        <v>2037</v>
      </c>
      <c r="C468" s="17">
        <v>15</v>
      </c>
      <c r="D468" s="50">
        <v>16654.848691830299</v>
      </c>
      <c r="E468" s="17">
        <f t="shared" si="80"/>
        <v>0.20900434665031858</v>
      </c>
      <c r="F468" s="32">
        <f t="shared" si="81"/>
        <v>3480.9357693959046</v>
      </c>
    </row>
    <row r="469" spans="2:6" x14ac:dyDescent="0.35">
      <c r="B469" s="17">
        <v>2038</v>
      </c>
      <c r="C469" s="17">
        <v>16</v>
      </c>
      <c r="D469" s="50">
        <v>18258.485501793901</v>
      </c>
      <c r="E469" s="17">
        <f t="shared" si="80"/>
        <v>0.18829220418947618</v>
      </c>
      <c r="F469" s="32">
        <f t="shared" si="81"/>
        <v>3437.9304802943675</v>
      </c>
    </row>
    <row r="470" spans="2:6" x14ac:dyDescent="0.35">
      <c r="B470" s="17">
        <v>2039</v>
      </c>
      <c r="C470" s="17">
        <v>17</v>
      </c>
      <c r="D470" s="50">
        <v>19862.122311757601</v>
      </c>
      <c r="E470" s="17">
        <f t="shared" si="80"/>
        <v>0.16963261638691546</v>
      </c>
      <c r="F470" s="32">
        <f t="shared" si="81"/>
        <v>3369.2637747403714</v>
      </c>
    </row>
    <row r="471" spans="2:6" x14ac:dyDescent="0.35">
      <c r="B471" s="17">
        <v>2040</v>
      </c>
      <c r="C471" s="17">
        <v>18</v>
      </c>
      <c r="D471" s="50">
        <v>21465.759121721301</v>
      </c>
      <c r="E471" s="17">
        <f t="shared" si="80"/>
        <v>0.15282217692514904</v>
      </c>
      <c r="F471" s="32">
        <f t="shared" si="81"/>
        <v>3280.4440383323245</v>
      </c>
    </row>
    <row r="472" spans="2:6" x14ac:dyDescent="0.35">
      <c r="B472" s="17">
        <v>2041</v>
      </c>
      <c r="C472" s="17">
        <v>19</v>
      </c>
      <c r="D472" s="50">
        <v>23069.395931685001</v>
      </c>
      <c r="E472" s="17">
        <f t="shared" si="80"/>
        <v>0.13767763686950363</v>
      </c>
      <c r="F472" s="32">
        <f t="shared" si="81"/>
        <v>3176.1399158813319</v>
      </c>
    </row>
    <row r="473" spans="2:6" x14ac:dyDescent="0.35">
      <c r="B473" s="17">
        <v>2042</v>
      </c>
      <c r="C473" s="17">
        <v>20</v>
      </c>
      <c r="D473" s="50">
        <v>24673.032741648702</v>
      </c>
      <c r="E473" s="17">
        <f t="shared" si="80"/>
        <v>0.1240339070896429</v>
      </c>
      <c r="F473" s="32">
        <f t="shared" si="81"/>
        <v>3060.2926506973722</v>
      </c>
    </row>
    <row r="474" spans="2:6" x14ac:dyDescent="0.35">
      <c r="B474" s="17">
        <v>2043</v>
      </c>
      <c r="C474" s="17">
        <v>21</v>
      </c>
      <c r="D474" s="50">
        <v>26276.669551612398</v>
      </c>
      <c r="E474" s="17">
        <f t="shared" si="80"/>
        <v>0.1117422586393179</v>
      </c>
      <c r="F474" s="32">
        <f t="shared" si="81"/>
        <v>2936.214405216162</v>
      </c>
    </row>
    <row r="475" spans="2:6" x14ac:dyDescent="0.35">
      <c r="B475" s="17">
        <v>2044</v>
      </c>
      <c r="C475" s="17">
        <v>22</v>
      </c>
      <c r="D475" s="50">
        <v>27880.306361576098</v>
      </c>
      <c r="E475" s="17">
        <f t="shared" si="80"/>
        <v>0.10066870147686298</v>
      </c>
      <c r="F475" s="32">
        <f t="shared" si="81"/>
        <v>2806.674238196988</v>
      </c>
    </row>
    <row r="476" spans="2:6" x14ac:dyDescent="0.35">
      <c r="B476" s="17">
        <v>2045</v>
      </c>
      <c r="C476" s="17">
        <v>23</v>
      </c>
      <c r="D476" s="50">
        <v>29483.943171539799</v>
      </c>
      <c r="E476" s="17">
        <f t="shared" si="80"/>
        <v>9.06925238530297E-2</v>
      </c>
      <c r="F476" s="32">
        <f t="shared" si="81"/>
        <v>2673.9732193662453</v>
      </c>
    </row>
    <row r="477" spans="2:6" x14ac:dyDescent="0.35">
      <c r="B477" s="17">
        <v>2046</v>
      </c>
      <c r="C477" s="17">
        <v>24</v>
      </c>
      <c r="D477" s="50">
        <v>31087.579981503499</v>
      </c>
      <c r="E477" s="17">
        <f t="shared" si="80"/>
        <v>8.1704976444170893E-2</v>
      </c>
      <c r="F477" s="32">
        <f t="shared" si="81"/>
        <v>2540.0099900950222</v>
      </c>
    </row>
    <row r="478" spans="2:6" x14ac:dyDescent="0.35">
      <c r="B478" s="17">
        <v>2047</v>
      </c>
      <c r="C478" s="17">
        <v>25</v>
      </c>
      <c r="D478" s="50">
        <v>32691.216791467199</v>
      </c>
      <c r="E478" s="17">
        <f t="shared" si="80"/>
        <v>7.3608086886640431E-2</v>
      </c>
      <c r="F478" s="32">
        <f t="shared" si="81"/>
        <v>2406.337926016316</v>
      </c>
    </row>
    <row r="480" spans="2:6" ht="14.5" customHeight="1" x14ac:dyDescent="0.35">
      <c r="B480" s="106" t="s">
        <v>121</v>
      </c>
      <c r="C480" s="106"/>
      <c r="D480" s="106"/>
      <c r="E480" s="108">
        <f>SUM(F453:F478)</f>
        <v>72540.095129689653</v>
      </c>
    </row>
    <row r="481" spans="2:12" ht="14.5" customHeight="1" x14ac:dyDescent="0.35">
      <c r="B481" s="106"/>
      <c r="C481" s="106"/>
      <c r="D481" s="106"/>
      <c r="E481" s="108"/>
    </row>
    <row r="484" spans="2:12" ht="27" x14ac:dyDescent="0.5">
      <c r="C484" s="105" t="s">
        <v>123</v>
      </c>
      <c r="D484" s="105"/>
      <c r="E484" s="105"/>
      <c r="F484" s="105"/>
      <c r="G484" s="105"/>
      <c r="H484" s="105"/>
      <c r="I484" s="105"/>
      <c r="J484" s="105"/>
      <c r="K484" s="105"/>
      <c r="L484" s="105"/>
    </row>
    <row r="487" spans="2:12" x14ac:dyDescent="0.35">
      <c r="B487" s="70" t="s">
        <v>124</v>
      </c>
      <c r="C487" s="71">
        <v>1.3784744352414955</v>
      </c>
    </row>
    <row r="488" spans="2:12" x14ac:dyDescent="0.35">
      <c r="B488" t="s">
        <v>119</v>
      </c>
      <c r="C488">
        <f>1/(1+C487)</f>
        <v>0.42043756501358664</v>
      </c>
    </row>
    <row r="489" spans="2:12" x14ac:dyDescent="0.35">
      <c r="B489" t="s">
        <v>125</v>
      </c>
      <c r="C489">
        <v>0</v>
      </c>
    </row>
    <row r="491" spans="2:12" x14ac:dyDescent="0.35">
      <c r="B491" s="51" t="s">
        <v>11</v>
      </c>
      <c r="C491" s="51" t="s">
        <v>118</v>
      </c>
      <c r="D491" s="51" t="s">
        <v>97</v>
      </c>
      <c r="E491" s="51" t="s">
        <v>119</v>
      </c>
      <c r="F491" s="51" t="s">
        <v>120</v>
      </c>
    </row>
    <row r="492" spans="2:12" x14ac:dyDescent="0.35">
      <c r="B492" s="49">
        <v>2022</v>
      </c>
      <c r="C492" s="49">
        <v>0</v>
      </c>
      <c r="D492" s="63">
        <v>-2552</v>
      </c>
      <c r="E492" s="82">
        <f>$C$488^C492</f>
        <v>1</v>
      </c>
      <c r="F492" s="32">
        <f>D492*E492</f>
        <v>-2552</v>
      </c>
    </row>
    <row r="493" spans="2:12" x14ac:dyDescent="0.35">
      <c r="B493" s="49">
        <v>2023</v>
      </c>
      <c r="C493" s="49">
        <v>1</v>
      </c>
      <c r="D493" s="50">
        <v>3286.8209699999989</v>
      </c>
      <c r="E493" s="82">
        <f t="shared" ref="E493:E517" si="82">$C$488^C493</f>
        <v>0.42043756501358664</v>
      </c>
      <c r="F493" s="32">
        <f t="shared" ref="F493:F517" si="83">D493*E493</f>
        <v>1381.9030052623943</v>
      </c>
    </row>
    <row r="494" spans="2:12" x14ac:dyDescent="0.35">
      <c r="B494" s="49">
        <v>2024</v>
      </c>
      <c r="C494" s="49">
        <v>2</v>
      </c>
      <c r="D494" s="50">
        <v>3613.1977450619997</v>
      </c>
      <c r="E494" s="82">
        <f t="shared" si="82"/>
        <v>0.17676774607455389</v>
      </c>
      <c r="F494" s="32">
        <f t="shared" si="83"/>
        <v>638.69682151627023</v>
      </c>
    </row>
    <row r="495" spans="2:12" x14ac:dyDescent="0.35">
      <c r="B495" s="49">
        <v>2025</v>
      </c>
      <c r="C495" s="49">
        <v>3</v>
      </c>
      <c r="D495" s="50">
        <v>3972.2918339223756</v>
      </c>
      <c r="E495" s="82">
        <f t="shared" si="82"/>
        <v>7.4319800732525435E-2</v>
      </c>
      <c r="F495" s="32">
        <f t="shared" si="83"/>
        <v>295.21993754854896</v>
      </c>
    </row>
    <row r="496" spans="2:12" x14ac:dyDescent="0.35">
      <c r="B496" s="49">
        <v>2026</v>
      </c>
      <c r="C496" s="49">
        <v>4</v>
      </c>
      <c r="D496" s="50">
        <v>3794.3764116886896</v>
      </c>
      <c r="E496" s="82">
        <f t="shared" si="82"/>
        <v>3.1246836052277963E-2</v>
      </c>
      <c r="F496" s="32">
        <f t="shared" si="83"/>
        <v>118.56225765666724</v>
      </c>
    </row>
    <row r="497" spans="2:6" x14ac:dyDescent="0.35">
      <c r="B497" s="49">
        <v>2027</v>
      </c>
      <c r="C497" s="49">
        <v>5</v>
      </c>
      <c r="D497" s="50">
        <v>4802.6379004641067</v>
      </c>
      <c r="E497" s="82">
        <f t="shared" si="82"/>
        <v>1.3137343664198499E-2</v>
      </c>
      <c r="F497" s="32">
        <f t="shared" si="83"/>
        <v>63.093904593101712</v>
      </c>
    </row>
    <row r="498" spans="2:6" x14ac:dyDescent="0.35">
      <c r="B498" s="49">
        <v>2028</v>
      </c>
      <c r="C498" s="49">
        <v>6</v>
      </c>
      <c r="D498" s="50">
        <v>5281.8535919229626</v>
      </c>
      <c r="E498" s="82">
        <f t="shared" si="82"/>
        <v>5.5234327809222869E-3</v>
      </c>
      <c r="F498" s="32">
        <f t="shared" si="83"/>
        <v>29.173963273659417</v>
      </c>
    </row>
    <row r="499" spans="2:6" x14ac:dyDescent="0.35">
      <c r="B499" s="49">
        <v>2029</v>
      </c>
      <c r="C499" s="49">
        <v>7</v>
      </c>
      <c r="D499" s="50">
        <v>5809.8002243297487</v>
      </c>
      <c r="E499" s="82">
        <f t="shared" si="82"/>
        <v>2.3222586289271901E-3</v>
      </c>
      <c r="F499" s="32">
        <f t="shared" si="83"/>
        <v>13.491858703292884</v>
      </c>
    </row>
    <row r="500" spans="2:6" x14ac:dyDescent="0.35">
      <c r="B500" s="49">
        <v>2030</v>
      </c>
      <c r="C500" s="49">
        <v>8</v>
      </c>
      <c r="D500" s="50">
        <v>6391.6229339102874</v>
      </c>
      <c r="E500" s="82">
        <f t="shared" si="82"/>
        <v>9.7636476327793789E-4</v>
      </c>
      <c r="F500" s="32">
        <f t="shared" si="83"/>
        <v>6.2405554128291563</v>
      </c>
    </row>
    <row r="501" spans="2:6" x14ac:dyDescent="0.35">
      <c r="B501" s="49">
        <v>2031</v>
      </c>
      <c r="C501" s="49">
        <v>9</v>
      </c>
      <c r="D501" s="50">
        <v>7033.027832048122</v>
      </c>
      <c r="E501" s="82">
        <f t="shared" si="82"/>
        <v>4.1050042363764314E-4</v>
      </c>
      <c r="F501" s="32">
        <f t="shared" si="83"/>
        <v>2.8870609045110891</v>
      </c>
    </row>
    <row r="502" spans="2:6" x14ac:dyDescent="0.35">
      <c r="B502" s="49">
        <v>2032</v>
      </c>
      <c r="C502" s="49">
        <v>10</v>
      </c>
      <c r="D502" s="50">
        <v>8636.6646420118141</v>
      </c>
      <c r="E502" s="82">
        <f t="shared" si="82"/>
        <v>1.7258979855125644E-4</v>
      </c>
      <c r="F502" s="32">
        <f t="shared" si="83"/>
        <v>1.4906002107195782</v>
      </c>
    </row>
    <row r="503" spans="2:6" x14ac:dyDescent="0.35">
      <c r="B503" s="49">
        <v>2033</v>
      </c>
      <c r="C503" s="49">
        <v>11</v>
      </c>
      <c r="D503" s="50">
        <v>9248.2784458709993</v>
      </c>
      <c r="E503" s="82">
        <f t="shared" si="82"/>
        <v>7.2563234649075713E-5</v>
      </c>
      <c r="F503" s="32">
        <f t="shared" si="83"/>
        <v>0.67108499896772655</v>
      </c>
    </row>
    <row r="504" spans="2:6" x14ac:dyDescent="0.35">
      <c r="B504" s="49">
        <v>2034</v>
      </c>
      <c r="C504" s="49">
        <v>12</v>
      </c>
      <c r="D504" s="50">
        <v>10160.478260989399</v>
      </c>
      <c r="E504" s="82">
        <f t="shared" si="82"/>
        <v>3.0508309685366909E-5</v>
      </c>
      <c r="F504" s="32">
        <f t="shared" si="83"/>
        <v>0.30997901733770283</v>
      </c>
    </row>
    <row r="505" spans="2:6" x14ac:dyDescent="0.35">
      <c r="B505" s="49">
        <v>2035</v>
      </c>
      <c r="C505" s="49">
        <v>13</v>
      </c>
      <c r="D505" s="50">
        <v>11072.678076107801</v>
      </c>
      <c r="E505" s="82">
        <f t="shared" si="82"/>
        <v>1.2826839436796086E-5</v>
      </c>
      <c r="F505" s="32">
        <f t="shared" si="83"/>
        <v>0.14202746381756695</v>
      </c>
    </row>
    <row r="506" spans="2:6" ht="14.5" customHeight="1" x14ac:dyDescent="0.35">
      <c r="B506" s="49">
        <v>2036</v>
      </c>
      <c r="C506" s="49">
        <v>14</v>
      </c>
      <c r="D506" s="50">
        <v>11984.877891226201</v>
      </c>
      <c r="E506" s="82">
        <f t="shared" si="82"/>
        <v>5.3928851396267909E-6</v>
      </c>
      <c r="F506" s="32">
        <f t="shared" si="83"/>
        <v>6.4633069879835442E-2</v>
      </c>
    </row>
    <row r="507" spans="2:6" ht="14.5" customHeight="1" x14ac:dyDescent="0.35">
      <c r="B507" s="49">
        <v>2037</v>
      </c>
      <c r="C507" s="49">
        <v>15</v>
      </c>
      <c r="D507" s="50">
        <v>12897.0777063446</v>
      </c>
      <c r="E507" s="82">
        <f t="shared" si="82"/>
        <v>2.2673714965026446E-6</v>
      </c>
      <c r="F507" s="32">
        <f t="shared" si="83"/>
        <v>2.9242466379545452E-2</v>
      </c>
    </row>
    <row r="508" spans="2:6" ht="14.5" customHeight="1" x14ac:dyDescent="0.35">
      <c r="B508" s="49">
        <v>2038</v>
      </c>
      <c r="C508" s="49">
        <v>16</v>
      </c>
      <c r="D508" s="50">
        <v>13809.277521463</v>
      </c>
      <c r="E508" s="82">
        <f t="shared" si="82"/>
        <v>9.5328815097078366E-7</v>
      </c>
      <c r="F508" s="32">
        <f t="shared" si="83"/>
        <v>1.316422063467787E-2</v>
      </c>
    </row>
    <row r="509" spans="2:6" x14ac:dyDescent="0.35">
      <c r="B509" s="49">
        <v>2039</v>
      </c>
      <c r="C509" s="49">
        <v>17</v>
      </c>
      <c r="D509" s="50">
        <v>14721.4773365814</v>
      </c>
      <c r="E509" s="82">
        <f t="shared" si="82"/>
        <v>4.0079814895046064E-7</v>
      </c>
      <c r="F509" s="32">
        <f t="shared" si="83"/>
        <v>5.9003408663179822E-3</v>
      </c>
    </row>
    <row r="510" spans="2:6" x14ac:dyDescent="0.35">
      <c r="B510" s="49">
        <v>2040</v>
      </c>
      <c r="C510" s="49">
        <v>18</v>
      </c>
      <c r="D510" s="50">
        <v>15633.6771516998</v>
      </c>
      <c r="E510" s="82">
        <f t="shared" si="82"/>
        <v>1.6851059780668449E-7</v>
      </c>
      <c r="F510" s="32">
        <f t="shared" si="83"/>
        <v>2.6344402827496376E-3</v>
      </c>
    </row>
    <row r="511" spans="2:6" x14ac:dyDescent="0.35">
      <c r="B511" s="49">
        <v>2041</v>
      </c>
      <c r="C511" s="49">
        <v>19</v>
      </c>
      <c r="D511" s="50">
        <v>16545.876966818199</v>
      </c>
      <c r="E511" s="82">
        <f t="shared" si="82"/>
        <v>7.0848185420826267E-8</v>
      </c>
      <c r="F511" s="32">
        <f t="shared" si="83"/>
        <v>1.1722453592953143E-3</v>
      </c>
    </row>
    <row r="512" spans="2:6" x14ac:dyDescent="0.35">
      <c r="B512" s="49">
        <v>2042</v>
      </c>
      <c r="C512" s="49">
        <v>20</v>
      </c>
      <c r="D512" s="50">
        <v>17458.076781936601</v>
      </c>
      <c r="E512" s="82">
        <f t="shared" si="82"/>
        <v>2.9787238563963282E-8</v>
      </c>
      <c r="F512" s="32">
        <f t="shared" si="83"/>
        <v>5.2002789797153388E-4</v>
      </c>
    </row>
    <row r="513" spans="2:6" x14ac:dyDescent="0.35">
      <c r="B513" s="49">
        <v>2043</v>
      </c>
      <c r="C513" s="49">
        <v>21</v>
      </c>
      <c r="D513" s="50">
        <v>18370.276597054999</v>
      </c>
      <c r="E513" s="82">
        <f t="shared" si="82"/>
        <v>1.2523674050311527E-8</v>
      </c>
      <c r="F513" s="32">
        <f t="shared" si="83"/>
        <v>2.3006335631558286E-4</v>
      </c>
    </row>
    <row r="514" spans="2:6" x14ac:dyDescent="0.35">
      <c r="B514" s="49">
        <v>2044</v>
      </c>
      <c r="C514" s="49">
        <v>22</v>
      </c>
      <c r="D514" s="50">
        <v>19282.476412173401</v>
      </c>
      <c r="E514" s="82">
        <f t="shared" si="82"/>
        <v>5.2654230227368205E-9</v>
      </c>
      <c r="F514" s="32">
        <f t="shared" si="83"/>
        <v>1.0153039523603751E-4</v>
      </c>
    </row>
    <row r="515" spans="2:6" x14ac:dyDescent="0.35">
      <c r="B515" s="49">
        <v>2045</v>
      </c>
      <c r="C515" s="49">
        <v>23</v>
      </c>
      <c r="D515" s="50">
        <v>20194.6762272919</v>
      </c>
      <c r="E515" s="82">
        <f t="shared" si="82"/>
        <v>2.2137816344459484E-9</v>
      </c>
      <c r="F515" s="32">
        <f t="shared" si="83"/>
        <v>4.4706603345561001E-5</v>
      </c>
    </row>
    <row r="516" spans="2:6" x14ac:dyDescent="0.35">
      <c r="B516" s="49">
        <v>2046</v>
      </c>
      <c r="C516" s="49">
        <v>24</v>
      </c>
      <c r="D516" s="50">
        <v>21106.876042410298</v>
      </c>
      <c r="E516" s="82">
        <f t="shared" si="82"/>
        <v>9.3075695985825226E-10</v>
      </c>
      <c r="F516" s="32">
        <f t="shared" si="83"/>
        <v>1.9645371777338789E-5</v>
      </c>
    </row>
    <row r="517" spans="2:6" x14ac:dyDescent="0.35">
      <c r="B517" s="49">
        <v>2047</v>
      </c>
      <c r="C517" s="49">
        <v>25</v>
      </c>
      <c r="D517" s="50">
        <v>22019.0758575287</v>
      </c>
      <c r="E517" s="82">
        <f t="shared" si="82"/>
        <v>3.9132518982225218E-10</v>
      </c>
      <c r="F517" s="32">
        <f t="shared" si="83"/>
        <v>8.6166190396579895E-6</v>
      </c>
    </row>
    <row r="519" spans="2:6" x14ac:dyDescent="0.35">
      <c r="E519" t="s">
        <v>53</v>
      </c>
      <c r="F519" s="3">
        <f>SUM(F492:F517)</f>
        <v>7.2793576371662789E-4</v>
      </c>
    </row>
    <row r="523" spans="2:6" ht="23.5" customHeight="1" x14ac:dyDescent="0.5">
      <c r="B523" s="81" t="s">
        <v>123</v>
      </c>
      <c r="C523" s="81"/>
      <c r="E523" s="83">
        <v>1.3785000000000001</v>
      </c>
    </row>
    <row r="524" spans="2:6" ht="21" x14ac:dyDescent="0.35">
      <c r="B524" s="81"/>
      <c r="C524" s="81"/>
    </row>
  </sheetData>
  <mergeCells count="157">
    <mergeCell ref="J17:K17"/>
    <mergeCell ref="A18:F18"/>
    <mergeCell ref="B10:H11"/>
    <mergeCell ref="B17:D17"/>
    <mergeCell ref="F17:H17"/>
    <mergeCell ref="C484:L484"/>
    <mergeCell ref="B126:C127"/>
    <mergeCell ref="B131:C132"/>
    <mergeCell ref="B170:C171"/>
    <mergeCell ref="G171:J172"/>
    <mergeCell ref="B173:D173"/>
    <mergeCell ref="B213:C213"/>
    <mergeCell ref="C123:I124"/>
    <mergeCell ref="C51:E51"/>
    <mergeCell ref="C52:E52"/>
    <mergeCell ref="C53:E53"/>
    <mergeCell ref="C55:E55"/>
    <mergeCell ref="C58:E58"/>
    <mergeCell ref="G224:H224"/>
    <mergeCell ref="I224:J224"/>
    <mergeCell ref="C225:D225"/>
    <mergeCell ref="E225:F225"/>
    <mergeCell ref="G225:H225"/>
    <mergeCell ref="I225:J225"/>
    <mergeCell ref="G222:H222"/>
    <mergeCell ref="I222:J222"/>
    <mergeCell ref="C223:D223"/>
    <mergeCell ref="E223:F223"/>
    <mergeCell ref="G223:H223"/>
    <mergeCell ref="I223:J223"/>
    <mergeCell ref="C224:D224"/>
    <mergeCell ref="E224:F224"/>
    <mergeCell ref="C222:D222"/>
    <mergeCell ref="E222:F222"/>
    <mergeCell ref="G228:H228"/>
    <mergeCell ref="I228:J228"/>
    <mergeCell ref="C229:D229"/>
    <mergeCell ref="E229:F229"/>
    <mergeCell ref="G229:H229"/>
    <mergeCell ref="I229:J229"/>
    <mergeCell ref="G226:H226"/>
    <mergeCell ref="I226:J226"/>
    <mergeCell ref="C227:D227"/>
    <mergeCell ref="E227:F227"/>
    <mergeCell ref="G227:H227"/>
    <mergeCell ref="I227:J227"/>
    <mergeCell ref="C228:D228"/>
    <mergeCell ref="E228:F228"/>
    <mergeCell ref="C226:D226"/>
    <mergeCell ref="E226:F226"/>
    <mergeCell ref="G232:H232"/>
    <mergeCell ref="I232:J232"/>
    <mergeCell ref="C233:D233"/>
    <mergeCell ref="E233:F233"/>
    <mergeCell ref="G233:H233"/>
    <mergeCell ref="I233:J233"/>
    <mergeCell ref="G230:H230"/>
    <mergeCell ref="I230:J230"/>
    <mergeCell ref="C231:D231"/>
    <mergeCell ref="E231:F231"/>
    <mergeCell ref="G231:H231"/>
    <mergeCell ref="I231:J231"/>
    <mergeCell ref="C232:D232"/>
    <mergeCell ref="E232:F232"/>
    <mergeCell ref="C230:D230"/>
    <mergeCell ref="E230:F230"/>
    <mergeCell ref="C236:D236"/>
    <mergeCell ref="E236:F236"/>
    <mergeCell ref="G236:H236"/>
    <mergeCell ref="I236:J236"/>
    <mergeCell ref="C237:D237"/>
    <mergeCell ref="E237:F237"/>
    <mergeCell ref="G237:H237"/>
    <mergeCell ref="I237:J237"/>
    <mergeCell ref="C234:D234"/>
    <mergeCell ref="E234:F234"/>
    <mergeCell ref="G234:H234"/>
    <mergeCell ref="I234:J234"/>
    <mergeCell ref="C235:D235"/>
    <mergeCell ref="E235:F235"/>
    <mergeCell ref="G235:H235"/>
    <mergeCell ref="I235:J235"/>
    <mergeCell ref="C240:D240"/>
    <mergeCell ref="E240:F240"/>
    <mergeCell ref="G240:H240"/>
    <mergeCell ref="I240:J240"/>
    <mergeCell ref="C241:D241"/>
    <mergeCell ref="E241:F241"/>
    <mergeCell ref="G241:H241"/>
    <mergeCell ref="I241:J241"/>
    <mergeCell ref="C238:D238"/>
    <mergeCell ref="E238:F238"/>
    <mergeCell ref="G238:H238"/>
    <mergeCell ref="I238:J238"/>
    <mergeCell ref="C239:D239"/>
    <mergeCell ref="E239:F239"/>
    <mergeCell ref="G239:H239"/>
    <mergeCell ref="I239:J239"/>
    <mergeCell ref="E244:F244"/>
    <mergeCell ref="G244:H244"/>
    <mergeCell ref="I244:J244"/>
    <mergeCell ref="C245:D245"/>
    <mergeCell ref="E245:F245"/>
    <mergeCell ref="G245:H245"/>
    <mergeCell ref="I245:J245"/>
    <mergeCell ref="C242:D242"/>
    <mergeCell ref="E242:F242"/>
    <mergeCell ref="G242:H242"/>
    <mergeCell ref="I242:J242"/>
    <mergeCell ref="C243:D243"/>
    <mergeCell ref="E243:F243"/>
    <mergeCell ref="G243:H243"/>
    <mergeCell ref="I243:J243"/>
    <mergeCell ref="B422:N423"/>
    <mergeCell ref="B323:C324"/>
    <mergeCell ref="B357:C358"/>
    <mergeCell ref="B388:H389"/>
    <mergeCell ref="B2:E3"/>
    <mergeCell ref="B5:E5"/>
    <mergeCell ref="B7:E7"/>
    <mergeCell ref="B48:H49"/>
    <mergeCell ref="B90:C91"/>
    <mergeCell ref="C248:D248"/>
    <mergeCell ref="E248:F248"/>
    <mergeCell ref="G248:H248"/>
    <mergeCell ref="I248:J248"/>
    <mergeCell ref="B251:C252"/>
    <mergeCell ref="B287:C288"/>
    <mergeCell ref="C246:D246"/>
    <mergeCell ref="E246:F246"/>
    <mergeCell ref="G246:H246"/>
    <mergeCell ref="I246:J246"/>
    <mergeCell ref="C247:D247"/>
    <mergeCell ref="E247:F247"/>
    <mergeCell ref="G247:H247"/>
    <mergeCell ref="I247:J247"/>
    <mergeCell ref="C244:D244"/>
    <mergeCell ref="B480:D481"/>
    <mergeCell ref="E480:E481"/>
    <mergeCell ref="B425:J425"/>
    <mergeCell ref="B429:D429"/>
    <mergeCell ref="B430:D430"/>
    <mergeCell ref="B431:D431"/>
    <mergeCell ref="B433:D433"/>
    <mergeCell ref="N448:O448"/>
    <mergeCell ref="B449:D449"/>
    <mergeCell ref="H449:J449"/>
    <mergeCell ref="N449:O449"/>
    <mergeCell ref="H439:J439"/>
    <mergeCell ref="H440:J440"/>
    <mergeCell ref="D444:M444"/>
    <mergeCell ref="B448:D448"/>
    <mergeCell ref="H448:J448"/>
    <mergeCell ref="B436:E436"/>
    <mergeCell ref="H436:J436"/>
    <mergeCell ref="B437:E437"/>
    <mergeCell ref="H438:J438"/>
  </mergeCells>
  <pageMargins left="0.7" right="0.7" top="0.75" bottom="0.75" header="0.3" footer="0.3"/>
  <pageSetup orientation="portrait" r:id="rId1"/>
  <ignoredErrors>
    <ignoredError sqref="C376 C372 C365 F394:F4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After tax incremental cashflows</vt:lpstr>
      <vt:lpstr>NPV &amp; IRR</vt:lpstr>
      <vt:lpstr>Longer life of pool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Tanisha Saran</dc:creator>
  <cp:lastModifiedBy>Tanisha Saran</cp:lastModifiedBy>
  <dcterms:created xsi:type="dcterms:W3CDTF">2022-02-17T14:30:35Z</dcterms:created>
  <dcterms:modified xsi:type="dcterms:W3CDTF">2022-02-20T07:17:52Z</dcterms:modified>
</cp:coreProperties>
</file>